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8827"/>
  <workbookPr/>
  <mc:AlternateContent xmlns:mc="http://schemas.openxmlformats.org/markup-compatibility/2006">
    <mc:Choice Requires="x15">
      <x15ac:absPath xmlns:x15ac="http://schemas.microsoft.com/office/spreadsheetml/2010/11/ac" url="C:\Users\stace\OneDrive\My Projects\NHTS\Data\December 11 files\ADOT\documentation\"/>
    </mc:Choice>
  </mc:AlternateContent>
  <xr:revisionPtr revIDLastSave="9" documentId="6FFF3463B349E2E55BB2ADA6D43F01E117C4A448" xr6:coauthVersionLast="26" xr6:coauthVersionMax="26" xr10:uidLastSave="{5E1367EB-455B-48A2-B5EE-F74B4D68AB4D}"/>
  <bookViews>
    <workbookView xWindow="0" yWindow="0" windowWidth="28800" windowHeight="11610" xr2:uid="{00000000-000D-0000-FFFF-FFFF00000000}"/>
  </bookViews>
  <sheets>
    <sheet name="Variables" sheetId="1" r:id="rId1"/>
    <sheet name="Value Lookup" sheetId="2" r:id="rId2"/>
    <sheet name="Tables" sheetId="3" r:id="rId3"/>
    <sheet name="Weights" sheetId="4" r:id="rId4"/>
    <sheet name="Frequencies" sheetId="5" r:id="rId5"/>
  </sheets>
  <definedNames>
    <definedName name="_xlnm._FilterDatabase" localSheetId="0" hidden="1">Variables!$A$1:$L$411</definedName>
  </definedNames>
  <calcPr calcId="171027"/>
</workbook>
</file>

<file path=xl/calcChain.xml><?xml version="1.0" encoding="utf-8"?>
<calcChain xmlns="http://schemas.openxmlformats.org/spreadsheetml/2006/main">
  <c r="F411" i="1" l="1"/>
  <c r="E411" i="1"/>
  <c r="F212" i="1"/>
  <c r="E212" i="1"/>
  <c r="F209" i="1"/>
  <c r="E209" i="1"/>
  <c r="F145" i="1"/>
  <c r="E145" i="1"/>
  <c r="F213" i="1"/>
  <c r="E213" i="1"/>
  <c r="F216" i="1"/>
  <c r="E216" i="1"/>
  <c r="F251" i="1"/>
  <c r="E251" i="1"/>
  <c r="F252" i="1"/>
  <c r="E252" i="1"/>
  <c r="F342" i="1"/>
  <c r="E342" i="1"/>
  <c r="F21" i="1"/>
  <c r="E21" i="1"/>
  <c r="F20" i="1"/>
  <c r="E20" i="1"/>
  <c r="F88" i="1"/>
  <c r="E88" i="1"/>
  <c r="F138" i="1"/>
  <c r="E138" i="1"/>
  <c r="F95" i="1"/>
  <c r="E95" i="1"/>
  <c r="F17" i="1"/>
  <c r="E17" i="1"/>
  <c r="F146" i="1"/>
  <c r="E146" i="1"/>
  <c r="F154" i="1"/>
  <c r="E154" i="1"/>
  <c r="F410" i="1"/>
  <c r="E410" i="1"/>
  <c r="F388" i="1"/>
  <c r="E388" i="1"/>
  <c r="F249" i="1"/>
  <c r="E249" i="1"/>
  <c r="F355" i="1"/>
  <c r="E355" i="1"/>
  <c r="F395" i="1"/>
  <c r="E395" i="1"/>
  <c r="F155" i="1"/>
  <c r="E155" i="1"/>
  <c r="F19" i="1"/>
  <c r="E19" i="1"/>
  <c r="F159" i="1"/>
  <c r="E159" i="1"/>
  <c r="F172" i="1"/>
  <c r="E172" i="1"/>
  <c r="F171" i="1"/>
  <c r="E171" i="1"/>
  <c r="F210" i="1"/>
  <c r="E210" i="1"/>
  <c r="F281" i="1"/>
  <c r="E281" i="1"/>
  <c r="F280" i="1"/>
  <c r="E280" i="1"/>
  <c r="F197" i="1"/>
  <c r="E197" i="1"/>
  <c r="F196" i="1"/>
  <c r="E196" i="1"/>
  <c r="F195" i="1"/>
  <c r="E195" i="1"/>
  <c r="F218" i="1"/>
  <c r="E218" i="1"/>
  <c r="F164" i="1"/>
  <c r="E164" i="1"/>
  <c r="F194" i="1"/>
  <c r="E194" i="1"/>
  <c r="F375" i="1"/>
  <c r="E375" i="1"/>
  <c r="F270" i="1"/>
  <c r="E270" i="1"/>
  <c r="F273" i="1"/>
  <c r="E273" i="1"/>
  <c r="F343" i="1"/>
  <c r="E343" i="1"/>
  <c r="F250" i="1"/>
  <c r="E250" i="1"/>
  <c r="F58" i="1"/>
  <c r="E58" i="1"/>
  <c r="F61" i="1"/>
  <c r="E61" i="1"/>
  <c r="F57" i="1"/>
  <c r="E57" i="1"/>
  <c r="F56" i="1"/>
  <c r="E56" i="1"/>
  <c r="F53" i="1"/>
  <c r="E53" i="1"/>
  <c r="F52" i="1"/>
  <c r="E52" i="1"/>
  <c r="F51" i="1"/>
  <c r="E51" i="1"/>
  <c r="F59" i="1"/>
  <c r="E59" i="1"/>
  <c r="F50" i="1"/>
  <c r="E50" i="1"/>
  <c r="F27" i="1"/>
  <c r="E27" i="1"/>
  <c r="F111" i="1"/>
  <c r="E111" i="1"/>
  <c r="F100" i="1"/>
  <c r="E100" i="1"/>
  <c r="F204" i="1"/>
  <c r="E204" i="1"/>
  <c r="F278" i="1"/>
  <c r="E278" i="1"/>
  <c r="F277" i="1"/>
  <c r="E277" i="1"/>
  <c r="F215" i="1"/>
  <c r="E215" i="1"/>
  <c r="F348" i="1"/>
  <c r="E348" i="1"/>
  <c r="F352" i="1"/>
  <c r="E352" i="1"/>
  <c r="F75" i="1"/>
  <c r="E75" i="1"/>
  <c r="F157" i="1"/>
  <c r="E157" i="1"/>
  <c r="F163" i="1"/>
  <c r="E163" i="1"/>
  <c r="F350" i="1"/>
  <c r="E350" i="1"/>
  <c r="F346" i="1"/>
  <c r="E346" i="1"/>
  <c r="F347" i="1"/>
  <c r="E347" i="1"/>
  <c r="F349" i="1"/>
  <c r="E349" i="1"/>
  <c r="F188" i="1"/>
  <c r="E188" i="1"/>
  <c r="F76" i="1"/>
  <c r="E76" i="1"/>
  <c r="F219" i="1"/>
  <c r="E219" i="1"/>
  <c r="F220" i="1"/>
  <c r="E220" i="1"/>
  <c r="F202" i="1"/>
  <c r="E202" i="1"/>
  <c r="F200" i="1"/>
  <c r="E200" i="1"/>
  <c r="F178" i="1"/>
  <c r="E178" i="1"/>
  <c r="F189" i="1"/>
  <c r="E189" i="1"/>
  <c r="F149" i="1"/>
  <c r="E149" i="1"/>
  <c r="F185" i="1"/>
  <c r="E185" i="1"/>
  <c r="F184" i="1"/>
  <c r="E184" i="1"/>
  <c r="F183" i="1"/>
  <c r="E183" i="1"/>
  <c r="F182" i="1"/>
  <c r="E182" i="1"/>
  <c r="F153" i="1"/>
  <c r="E153" i="1"/>
  <c r="F169" i="1"/>
  <c r="E169" i="1"/>
  <c r="F260" i="1"/>
  <c r="E260" i="1"/>
  <c r="F187" i="1"/>
  <c r="E187" i="1"/>
  <c r="F186" i="1"/>
  <c r="E186" i="1"/>
  <c r="F272" i="1"/>
  <c r="E272" i="1"/>
  <c r="F116" i="1"/>
  <c r="E116" i="1"/>
  <c r="F193" i="1"/>
  <c r="E193" i="1"/>
  <c r="F332" i="1"/>
  <c r="E332" i="1"/>
  <c r="F330" i="1"/>
  <c r="E330" i="1"/>
  <c r="F331" i="1"/>
  <c r="E331" i="1"/>
  <c r="F317" i="1"/>
  <c r="E317" i="1"/>
  <c r="F316" i="1"/>
  <c r="E316" i="1"/>
  <c r="F315" i="1"/>
  <c r="E315" i="1"/>
  <c r="F314" i="1"/>
  <c r="E314" i="1"/>
  <c r="F313" i="1"/>
  <c r="E313" i="1"/>
  <c r="F312" i="1"/>
  <c r="E312" i="1"/>
  <c r="F311" i="1"/>
  <c r="E311" i="1"/>
  <c r="F329" i="1"/>
  <c r="E329" i="1"/>
  <c r="F310" i="1"/>
  <c r="E310" i="1"/>
  <c r="F328" i="1"/>
  <c r="E328" i="1"/>
  <c r="F327" i="1"/>
  <c r="E327" i="1"/>
  <c r="F325" i="1"/>
  <c r="E325" i="1"/>
  <c r="F324" i="1"/>
  <c r="E324" i="1"/>
  <c r="F323" i="1"/>
  <c r="E323" i="1"/>
  <c r="F322" i="1"/>
  <c r="E322" i="1"/>
  <c r="F321" i="1"/>
  <c r="E321" i="1"/>
  <c r="F320" i="1"/>
  <c r="E320" i="1"/>
  <c r="F319" i="1"/>
  <c r="E319" i="1"/>
  <c r="F318" i="1"/>
  <c r="E318" i="1"/>
  <c r="F309" i="1"/>
  <c r="E309" i="1"/>
  <c r="F33" i="1"/>
  <c r="E33" i="1"/>
  <c r="F107" i="1"/>
  <c r="E107" i="1"/>
  <c r="F299" i="1"/>
  <c r="E299" i="1"/>
  <c r="F191" i="1"/>
  <c r="E191" i="1"/>
  <c r="F307" i="1"/>
  <c r="E307" i="1"/>
  <c r="F305" i="1"/>
  <c r="E305" i="1"/>
  <c r="F306" i="1"/>
  <c r="E306" i="1"/>
  <c r="F290" i="1"/>
  <c r="E290" i="1"/>
  <c r="F289" i="1"/>
  <c r="E289" i="1"/>
  <c r="F288" i="1"/>
  <c r="E288" i="1"/>
  <c r="F287" i="1"/>
  <c r="E287" i="1"/>
  <c r="F286" i="1"/>
  <c r="E286" i="1"/>
  <c r="F285" i="1"/>
  <c r="E285" i="1"/>
  <c r="F284" i="1"/>
  <c r="E284" i="1"/>
  <c r="F304" i="1"/>
  <c r="E304" i="1"/>
  <c r="F283" i="1"/>
  <c r="E283" i="1"/>
  <c r="F303" i="1"/>
  <c r="E303" i="1"/>
  <c r="F302" i="1"/>
  <c r="E302" i="1"/>
  <c r="F298" i="1"/>
  <c r="E298" i="1"/>
  <c r="F297" i="1"/>
  <c r="E297" i="1"/>
  <c r="F296" i="1"/>
  <c r="E296" i="1"/>
  <c r="F295" i="1"/>
  <c r="E295" i="1"/>
  <c r="F294" i="1"/>
  <c r="E294" i="1"/>
  <c r="F293" i="1"/>
  <c r="E293" i="1"/>
  <c r="F292" i="1"/>
  <c r="E292" i="1"/>
  <c r="F291" i="1"/>
  <c r="E291" i="1"/>
  <c r="F282" i="1"/>
  <c r="E282" i="1"/>
  <c r="F37" i="1"/>
  <c r="E37" i="1"/>
  <c r="F79" i="1"/>
  <c r="E79" i="1"/>
  <c r="F276" i="1"/>
  <c r="E276" i="1"/>
  <c r="F14" i="1"/>
  <c r="E14" i="1"/>
  <c r="F400" i="1"/>
  <c r="E400" i="1"/>
  <c r="F386" i="1"/>
  <c r="E386" i="1"/>
  <c r="F147" i="1"/>
  <c r="E147" i="1"/>
  <c r="F18" i="1"/>
  <c r="E18" i="1"/>
  <c r="F105" i="1"/>
  <c r="E105" i="1"/>
  <c r="F94" i="1"/>
  <c r="E94" i="1"/>
  <c r="F71" i="1"/>
  <c r="E71" i="1"/>
  <c r="F68" i="1"/>
  <c r="E68" i="1"/>
  <c r="F74" i="1"/>
  <c r="E74" i="1"/>
  <c r="F73" i="1"/>
  <c r="E73" i="1"/>
  <c r="F101" i="1"/>
  <c r="E101" i="1"/>
  <c r="F259" i="1"/>
  <c r="E259" i="1"/>
  <c r="F258" i="1"/>
  <c r="E258" i="1"/>
  <c r="F257" i="1"/>
  <c r="E257" i="1"/>
  <c r="F396" i="1"/>
  <c r="E396" i="1"/>
  <c r="F360" i="1"/>
  <c r="E360" i="1"/>
  <c r="F93" i="1"/>
  <c r="E93" i="1"/>
  <c r="F211" i="1"/>
  <c r="E211" i="1"/>
  <c r="F25" i="1"/>
  <c r="E25" i="1"/>
  <c r="F167" i="1"/>
  <c r="E167" i="1"/>
  <c r="F162" i="1"/>
  <c r="E162" i="1"/>
  <c r="F161" i="1"/>
  <c r="E161" i="1"/>
  <c r="F160" i="1"/>
  <c r="E160" i="1"/>
  <c r="F41" i="1"/>
  <c r="E41" i="1"/>
  <c r="F39" i="1"/>
  <c r="E39" i="1"/>
  <c r="F222" i="1"/>
  <c r="E222" i="1"/>
  <c r="F221" i="1"/>
  <c r="E221" i="1"/>
  <c r="F406" i="1"/>
  <c r="E406" i="1"/>
  <c r="F11" i="1"/>
  <c r="E11" i="1"/>
  <c r="F404" i="1"/>
  <c r="E404" i="1"/>
  <c r="F10" i="1"/>
  <c r="E10" i="1"/>
  <c r="F409" i="1"/>
  <c r="E409" i="1"/>
  <c r="F12" i="1"/>
  <c r="E12" i="1"/>
  <c r="F69" i="1"/>
  <c r="E69" i="1"/>
  <c r="F407" i="1"/>
  <c r="E407" i="1"/>
  <c r="F9" i="1"/>
  <c r="E9" i="1"/>
  <c r="F66" i="1"/>
  <c r="E66" i="1"/>
  <c r="F253" i="1"/>
  <c r="E253" i="1"/>
  <c r="F60" i="1"/>
  <c r="E60" i="1"/>
  <c r="F177" i="1"/>
  <c r="E177" i="1"/>
  <c r="F405" i="1"/>
  <c r="E405" i="1"/>
  <c r="F5" i="1"/>
  <c r="E5" i="1"/>
  <c r="F230" i="1"/>
  <c r="E230" i="1"/>
  <c r="F229" i="1"/>
  <c r="E229" i="1"/>
  <c r="F235" i="1"/>
  <c r="E235" i="1"/>
  <c r="F228" i="1"/>
  <c r="E228" i="1"/>
  <c r="F227" i="1"/>
  <c r="E227" i="1"/>
  <c r="F226" i="1"/>
  <c r="E226" i="1"/>
  <c r="F225" i="1"/>
  <c r="E225" i="1"/>
  <c r="F224" i="1"/>
  <c r="E224" i="1"/>
  <c r="F223" i="1"/>
  <c r="E223" i="1"/>
  <c r="F374" i="1"/>
  <c r="E374" i="1"/>
  <c r="F378" i="1"/>
  <c r="E378" i="1"/>
  <c r="F372" i="1"/>
  <c r="E372" i="1"/>
  <c r="F373" i="1"/>
  <c r="E373" i="1"/>
  <c r="F387" i="1"/>
  <c r="E387" i="1"/>
  <c r="F271" i="1"/>
  <c r="E271" i="1"/>
  <c r="F87" i="1"/>
  <c r="E87" i="1"/>
  <c r="F62" i="1"/>
  <c r="E62" i="1"/>
  <c r="F113" i="1"/>
  <c r="E113" i="1"/>
  <c r="F269" i="1"/>
  <c r="E269" i="1"/>
  <c r="F217" i="1"/>
  <c r="E217" i="1"/>
  <c r="F13" i="1"/>
  <c r="E13" i="1"/>
  <c r="F109" i="1"/>
  <c r="E109" i="1"/>
  <c r="F110" i="1"/>
  <c r="E110" i="1"/>
  <c r="F203" i="1"/>
  <c r="E203" i="1"/>
  <c r="F3" i="1"/>
  <c r="E3" i="1"/>
  <c r="F4" i="1"/>
  <c r="E4" i="1"/>
  <c r="F92" i="1"/>
  <c r="E92" i="1"/>
  <c r="F15" i="1"/>
  <c r="E15" i="1"/>
  <c r="F108" i="1"/>
  <c r="E108" i="1"/>
  <c r="F401" i="1"/>
  <c r="E401" i="1"/>
  <c r="F390" i="1"/>
  <c r="E390" i="1"/>
  <c r="F379" i="1"/>
  <c r="E379" i="1"/>
  <c r="F376" i="1"/>
  <c r="E376" i="1"/>
  <c r="F357" i="1"/>
  <c r="E357" i="1"/>
  <c r="F356" i="1"/>
  <c r="E356" i="1"/>
  <c r="F338" i="1"/>
  <c r="E338" i="1"/>
  <c r="F337" i="1"/>
  <c r="E337" i="1"/>
  <c r="F336" i="1"/>
  <c r="E336" i="1"/>
  <c r="F335" i="1"/>
  <c r="E335" i="1"/>
  <c r="F385" i="1"/>
  <c r="E385" i="1"/>
  <c r="F384" i="1"/>
  <c r="E384" i="1"/>
  <c r="F383" i="1"/>
  <c r="E383" i="1"/>
  <c r="F382" i="1"/>
  <c r="E382" i="1"/>
  <c r="F381" i="1"/>
  <c r="E381" i="1"/>
  <c r="F380" i="1"/>
  <c r="E380" i="1"/>
  <c r="F334" i="1"/>
  <c r="E334" i="1"/>
  <c r="F64" i="1"/>
  <c r="E64" i="1"/>
  <c r="F179" i="1"/>
  <c r="E179" i="1"/>
  <c r="F175" i="1"/>
  <c r="E175" i="1"/>
  <c r="F180" i="1"/>
  <c r="E180" i="1"/>
  <c r="F99" i="1"/>
  <c r="E99" i="1"/>
  <c r="F98" i="1"/>
  <c r="E98" i="1"/>
  <c r="F181" i="1"/>
  <c r="E181" i="1"/>
  <c r="F176" i="1"/>
  <c r="E176" i="1"/>
  <c r="F23" i="1"/>
  <c r="E23" i="1"/>
  <c r="F26" i="1"/>
  <c r="E26" i="1"/>
  <c r="F190" i="1"/>
  <c r="E190" i="1"/>
  <c r="F264" i="1"/>
  <c r="E264" i="1"/>
  <c r="F144" i="1"/>
  <c r="E144" i="1"/>
  <c r="F263" i="1"/>
  <c r="E263" i="1"/>
  <c r="F80" i="1"/>
  <c r="E80" i="1"/>
  <c r="F28" i="1"/>
  <c r="E28" i="1"/>
  <c r="F170" i="1"/>
  <c r="E170" i="1"/>
  <c r="F166" i="1"/>
  <c r="E166" i="1"/>
  <c r="F97" i="1"/>
  <c r="E97" i="1"/>
  <c r="F96" i="1"/>
  <c r="E96" i="1"/>
  <c r="F199" i="1"/>
  <c r="E199" i="1"/>
  <c r="F198" i="1"/>
  <c r="E198" i="1"/>
  <c r="F63" i="1"/>
  <c r="E63" i="1"/>
  <c r="F361" i="1"/>
  <c r="E361" i="1"/>
  <c r="F358" i="1"/>
  <c r="E358" i="1"/>
  <c r="F82" i="1"/>
  <c r="E82" i="1"/>
  <c r="F81" i="1"/>
  <c r="E81" i="1"/>
  <c r="F22" i="1"/>
  <c r="E22" i="1"/>
  <c r="F205" i="1"/>
  <c r="E205" i="1"/>
  <c r="F214" i="1"/>
  <c r="E214" i="1"/>
  <c r="F152" i="1"/>
  <c r="E152" i="1"/>
  <c r="F118" i="1"/>
  <c r="E118" i="1"/>
  <c r="F150" i="1"/>
  <c r="E150" i="1"/>
  <c r="F67" i="1"/>
  <c r="E67" i="1"/>
  <c r="F148" i="1"/>
  <c r="E148" i="1"/>
  <c r="F165" i="1"/>
  <c r="E165" i="1"/>
  <c r="F122" i="1"/>
  <c r="E122" i="1"/>
  <c r="F120" i="1"/>
  <c r="E120" i="1"/>
  <c r="F207" i="1"/>
  <c r="E207" i="1"/>
  <c r="F121" i="1"/>
  <c r="E121" i="1"/>
  <c r="F119" i="1"/>
  <c r="E119" i="1"/>
  <c r="F141" i="1"/>
  <c r="E141" i="1"/>
  <c r="F38" i="1"/>
  <c r="E38" i="1"/>
  <c r="F91" i="1"/>
  <c r="E91" i="1"/>
  <c r="F24" i="1"/>
  <c r="E24" i="1"/>
  <c r="F136" i="1"/>
  <c r="E136" i="1"/>
  <c r="F134" i="1"/>
  <c r="E134" i="1"/>
  <c r="F135" i="1"/>
  <c r="E135" i="1"/>
  <c r="F132" i="1"/>
  <c r="E132" i="1"/>
  <c r="F131" i="1"/>
  <c r="E131" i="1"/>
  <c r="F130" i="1"/>
  <c r="E130" i="1"/>
  <c r="F129" i="1"/>
  <c r="E129" i="1"/>
  <c r="F128" i="1"/>
  <c r="E128" i="1"/>
  <c r="F127" i="1"/>
  <c r="E127" i="1"/>
  <c r="F126" i="1"/>
  <c r="E126" i="1"/>
  <c r="F125" i="1"/>
  <c r="E125" i="1"/>
  <c r="F133" i="1"/>
  <c r="E133" i="1"/>
  <c r="F123" i="1"/>
  <c r="E123" i="1"/>
  <c r="F377" i="1"/>
  <c r="E377" i="1"/>
  <c r="F359" i="1"/>
  <c r="E359" i="1"/>
  <c r="F274" i="1"/>
  <c r="E274" i="1"/>
  <c r="F341" i="1"/>
  <c r="E341" i="1"/>
  <c r="F268" i="1"/>
  <c r="E268" i="1"/>
  <c r="F340" i="1"/>
  <c r="E340" i="1"/>
  <c r="F267" i="1"/>
  <c r="E267" i="1"/>
  <c r="F339" i="1"/>
  <c r="E339" i="1"/>
  <c r="F266" i="1"/>
  <c r="E266" i="1"/>
  <c r="F308" i="1"/>
  <c r="E308" i="1"/>
  <c r="F333" i="1"/>
  <c r="E333" i="1"/>
  <c r="F2" i="1"/>
  <c r="E2" i="1"/>
  <c r="F85" i="1"/>
  <c r="E85" i="1"/>
  <c r="F408" i="1"/>
  <c r="E408" i="1"/>
  <c r="F77" i="1"/>
  <c r="E77" i="1"/>
  <c r="F89" i="1"/>
  <c r="E89" i="1"/>
  <c r="F143" i="1"/>
  <c r="E143" i="1"/>
  <c r="F142" i="1"/>
  <c r="E142" i="1"/>
  <c r="F86" i="1"/>
  <c r="E86" i="1"/>
  <c r="F151" i="1"/>
  <c r="E151" i="1"/>
  <c r="F137" i="1"/>
  <c r="E137" i="1"/>
  <c r="F234" i="1"/>
  <c r="E234" i="1"/>
  <c r="F262" i="1"/>
  <c r="E262" i="1"/>
  <c r="F261" i="1"/>
  <c r="E261" i="1"/>
  <c r="F246" i="1"/>
  <c r="E246" i="1"/>
  <c r="F90" i="1"/>
  <c r="E90" i="1"/>
  <c r="F247" i="1"/>
  <c r="E247" i="1"/>
  <c r="F345" i="1"/>
  <c r="E345" i="1"/>
  <c r="F344" i="1"/>
  <c r="E344" i="1"/>
  <c r="F201" i="1"/>
  <c r="E201" i="1"/>
  <c r="F326" i="1"/>
  <c r="E326" i="1"/>
  <c r="F265" i="1"/>
  <c r="E265" i="1"/>
  <c r="F301" i="1"/>
  <c r="E301" i="1"/>
  <c r="F256" i="1"/>
  <c r="E256" i="1"/>
  <c r="F300" i="1"/>
  <c r="E300" i="1"/>
  <c r="F255" i="1"/>
  <c r="E255" i="1"/>
  <c r="F16" i="1"/>
  <c r="E16" i="1"/>
  <c r="F394" i="1"/>
  <c r="E394" i="1"/>
  <c r="F206" i="1"/>
  <c r="E206" i="1"/>
  <c r="F117" i="1"/>
  <c r="E117" i="1"/>
  <c r="F84" i="1"/>
  <c r="E84" i="1"/>
  <c r="F83" i="1"/>
  <c r="E83" i="1"/>
  <c r="F156" i="1"/>
  <c r="E156" i="1"/>
  <c r="F124" i="1"/>
  <c r="E124" i="1"/>
  <c r="F392" i="1"/>
  <c r="E392" i="1"/>
  <c r="F391" i="1"/>
  <c r="E391" i="1"/>
  <c r="F158" i="1"/>
  <c r="E158" i="1"/>
  <c r="F254" i="1"/>
  <c r="E254" i="1"/>
  <c r="F351" i="1"/>
  <c r="E351" i="1"/>
  <c r="F353" i="1"/>
  <c r="E353" i="1"/>
  <c r="F72" i="1"/>
  <c r="E72" i="1"/>
  <c r="F70" i="1"/>
  <c r="E70" i="1"/>
  <c r="F114" i="1"/>
  <c r="E114" i="1"/>
  <c r="F102" i="1"/>
  <c r="E102" i="1"/>
  <c r="F115" i="1"/>
  <c r="E115" i="1"/>
  <c r="F8" i="1"/>
  <c r="E8" i="1"/>
  <c r="F275" i="1"/>
  <c r="E275" i="1"/>
  <c r="F279" i="1"/>
  <c r="E279" i="1"/>
  <c r="F139" i="1"/>
  <c r="E139" i="1"/>
  <c r="F7" i="1"/>
  <c r="E7" i="1"/>
  <c r="F192" i="1"/>
  <c r="E192" i="1"/>
  <c r="F399" i="1"/>
  <c r="E399" i="1"/>
  <c r="F402" i="1"/>
  <c r="E402" i="1"/>
  <c r="F403" i="1"/>
  <c r="E403" i="1"/>
  <c r="F32" i="1"/>
  <c r="E32" i="1"/>
  <c r="F173" i="1"/>
  <c r="E173" i="1"/>
  <c r="F168" i="1"/>
  <c r="E168" i="1"/>
  <c r="F389" i="1"/>
  <c r="E389" i="1"/>
  <c r="F174" i="1"/>
  <c r="E174" i="1"/>
  <c r="F55" i="1"/>
  <c r="E55" i="1"/>
  <c r="F54" i="1"/>
  <c r="E54" i="1"/>
  <c r="F362" i="1"/>
  <c r="E362" i="1"/>
  <c r="F368" i="1"/>
  <c r="E368" i="1"/>
  <c r="F367" i="1"/>
  <c r="E367" i="1"/>
  <c r="F365" i="1"/>
  <c r="E365" i="1"/>
  <c r="F363" i="1"/>
  <c r="E363" i="1"/>
  <c r="F371" i="1"/>
  <c r="E371" i="1"/>
  <c r="F366" i="1"/>
  <c r="E366" i="1"/>
  <c r="F369" i="1"/>
  <c r="E369" i="1"/>
  <c r="F364" i="1"/>
  <c r="E364" i="1"/>
  <c r="F370" i="1"/>
  <c r="E370" i="1"/>
  <c r="F43" i="1"/>
  <c r="E43" i="1"/>
  <c r="F393" i="1"/>
  <c r="E393" i="1"/>
  <c r="F140" i="1"/>
  <c r="E140" i="1"/>
  <c r="F40" i="1"/>
  <c r="E40" i="1"/>
  <c r="F232" i="1"/>
  <c r="E232" i="1"/>
  <c r="F231" i="1"/>
  <c r="E231" i="1"/>
  <c r="F233" i="1"/>
  <c r="E233" i="1"/>
  <c r="F36" i="1"/>
  <c r="E36" i="1"/>
  <c r="F65" i="1"/>
  <c r="E65" i="1"/>
  <c r="F78" i="1"/>
  <c r="E78" i="1"/>
  <c r="F104" i="1"/>
  <c r="E104" i="1"/>
  <c r="F106" i="1"/>
  <c r="E106" i="1"/>
  <c r="F208" i="1"/>
  <c r="E208" i="1"/>
  <c r="F30" i="1"/>
  <c r="E30" i="1"/>
  <c r="F47" i="1"/>
  <c r="E47" i="1"/>
  <c r="F31" i="1"/>
  <c r="E31" i="1"/>
  <c r="F49" i="1"/>
  <c r="E49" i="1"/>
  <c r="F46" i="1"/>
  <c r="E46" i="1"/>
  <c r="F45" i="1"/>
  <c r="E45" i="1"/>
  <c r="F44" i="1"/>
  <c r="E44" i="1"/>
  <c r="F42" i="1"/>
  <c r="E42" i="1"/>
  <c r="F35" i="1"/>
  <c r="E35" i="1"/>
  <c r="F48" i="1"/>
  <c r="E48" i="1"/>
  <c r="F34" i="1"/>
  <c r="E34" i="1"/>
  <c r="F29" i="1"/>
  <c r="E29" i="1"/>
  <c r="F112" i="1"/>
  <c r="E112" i="1"/>
  <c r="F103" i="1"/>
  <c r="E103" i="1"/>
  <c r="F398" i="1"/>
  <c r="E398" i="1"/>
  <c r="F397" i="1"/>
  <c r="E397" i="1"/>
  <c r="F354" i="1"/>
  <c r="E354" i="1"/>
  <c r="F245" i="1"/>
  <c r="E245" i="1"/>
  <c r="F244" i="1"/>
  <c r="E244" i="1"/>
  <c r="F248" i="1"/>
  <c r="E248" i="1"/>
  <c r="F243" i="1"/>
  <c r="E243" i="1"/>
  <c r="F242" i="1"/>
  <c r="E242" i="1"/>
  <c r="F241" i="1"/>
  <c r="E241" i="1"/>
  <c r="F240" i="1"/>
  <c r="E240" i="1"/>
  <c r="F239" i="1"/>
  <c r="E239" i="1"/>
  <c r="F238" i="1"/>
  <c r="E238" i="1"/>
  <c r="F237" i="1"/>
  <c r="E237" i="1"/>
  <c r="F236" i="1"/>
  <c r="E236" i="1"/>
  <c r="F6" i="1"/>
  <c r="E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3" authorId="0" shapeId="0" xr:uid="{00000000-0006-0000-0400-000001000000}">
      <text>
        <r>
          <rPr>
            <sz val="9"/>
            <color rgb="FF000000"/>
            <rFont val="Calibri"/>
          </rPr>
          <t>HOUSEID {not displaying table with 2,391 unique values}</t>
        </r>
      </text>
    </comment>
    <comment ref="A6" authorId="0" shapeId="0" xr:uid="{00000000-0006-0000-0400-000002000000}">
      <text>
        <r>
          <rPr>
            <sz val="9"/>
            <color rgb="FF000000"/>
            <rFont val="Calibri"/>
          </rPr>
          <t>TDAYDAT2 {not displaying table with 251 unique values}</t>
        </r>
      </text>
    </comment>
    <comment ref="A484" authorId="0" shapeId="0" xr:uid="{00000000-0006-0000-0400-000003000000}">
      <text>
        <r>
          <rPr>
            <sz val="9"/>
            <color rgb="FF000000"/>
            <rFont val="Calibri"/>
          </rPr>
          <t>LD_CITY {not displaying table with 553 unique values}</t>
        </r>
      </text>
    </comment>
    <comment ref="A488" authorId="0" shapeId="0" xr:uid="{00000000-0006-0000-0400-000004000000}">
      <text>
        <r>
          <rPr>
            <sz val="9"/>
            <color rgb="FF000000"/>
            <rFont val="Calibri"/>
          </rPr>
          <t>LD_STATE {not displaying table with 138 unique values}</t>
        </r>
      </text>
    </comment>
    <comment ref="A809" authorId="0" shapeId="0" xr:uid="{00000000-0006-0000-0400-000005000000}">
      <text>
        <r>
          <rPr>
            <sz val="9"/>
            <color rgb="FF000000"/>
            <rFont val="Calibri"/>
          </rPr>
          <t>LD_DIST {not displaying table with 1,682 unique values}</t>
        </r>
      </text>
    </comment>
    <comment ref="A979" authorId="0" shapeId="0" xr:uid="{00000000-0006-0000-0400-000006000000}">
      <text>
        <r>
          <rPr>
            <sz val="9"/>
            <color rgb="FF000000"/>
            <rFont val="Calibri"/>
          </rPr>
          <t>HBHTNRNT17 {not displaying table with 1,171 unique values}</t>
        </r>
      </text>
    </comment>
    <comment ref="A983" authorId="0" shapeId="0" xr:uid="{00000000-0006-0000-0400-000007000000}">
      <text>
        <r>
          <rPr>
            <sz val="9"/>
            <color rgb="FF000000"/>
            <rFont val="Calibri"/>
          </rPr>
          <t>HBPPOPDN17 {not displaying table with 1,213 unique values}</t>
        </r>
      </text>
    </comment>
    <comment ref="A986" authorId="0" shapeId="0" xr:uid="{00000000-0006-0000-0400-000008000000}">
      <text>
        <r>
          <rPr>
            <sz val="9"/>
            <color rgb="FF000000"/>
            <rFont val="Calibri"/>
          </rPr>
          <t>HBRESDN17 {not displaying table with 1,213 unique values}</t>
        </r>
      </text>
    </comment>
    <comment ref="A989" authorId="0" shapeId="0" xr:uid="{00000000-0006-0000-0400-000009000000}">
      <text>
        <r>
          <rPr>
            <sz val="9"/>
            <color rgb="FF000000"/>
            <rFont val="Calibri"/>
          </rPr>
          <t>HTEEMPDN17 {not displaying table with 785 unique values}</t>
        </r>
      </text>
    </comment>
    <comment ref="A992" authorId="0" shapeId="0" xr:uid="{00000000-0006-0000-0400-00000A000000}">
      <text>
        <r>
          <rPr>
            <sz val="9"/>
            <color rgb="FF000000"/>
            <rFont val="Calibri"/>
          </rPr>
          <t>HTHTNRNT17 {not displaying table with 781 unique values}</t>
        </r>
      </text>
    </comment>
    <comment ref="A996" authorId="0" shapeId="0" xr:uid="{00000000-0006-0000-0400-00000B000000}">
      <text>
        <r>
          <rPr>
            <sz val="9"/>
            <color rgb="FF000000"/>
            <rFont val="Calibri"/>
          </rPr>
          <t>HTPPOPDN17 {not displaying table with 785 unique values}</t>
        </r>
      </text>
    </comment>
    <comment ref="A999" authorId="0" shapeId="0" xr:uid="{00000000-0006-0000-0400-00000C000000}">
      <text>
        <r>
          <rPr>
            <sz val="9"/>
            <color rgb="FF000000"/>
            <rFont val="Calibri"/>
          </rPr>
          <t>HTRESDN17 {not displaying table with 785 unique values}</t>
        </r>
      </text>
    </comment>
    <comment ref="A1027" authorId="0" shapeId="0" xr:uid="{00000000-0006-0000-0400-00000D000000}">
      <text>
        <r>
          <rPr>
            <sz val="9"/>
            <color rgb="FF000000"/>
            <rFont val="Calibri"/>
          </rPr>
          <t>HOUSEID {not displaying table with 2,391 unique values}</t>
        </r>
      </text>
    </comment>
    <comment ref="A1042" authorId="0" shapeId="0" xr:uid="{00000000-0006-0000-0400-00000E000000}">
      <text>
        <r>
          <rPr>
            <sz val="9"/>
            <color rgb="FF000000"/>
            <rFont val="Calibri"/>
          </rPr>
          <t>PERINDT2 {not displaying table with 365 unique values}</t>
        </r>
      </text>
    </comment>
    <comment ref="A1811" authorId="0" shapeId="0" xr:uid="{00000000-0006-0000-0400-00000F000000}">
      <text>
        <r>
          <rPr>
            <sz val="9"/>
            <color rgb="FF000000"/>
            <rFont val="Calibri"/>
          </rPr>
          <t>WRKTIME {not displaying table with 142 unique values}</t>
        </r>
      </text>
    </comment>
    <comment ref="A2186" authorId="0" shapeId="0" xr:uid="{00000000-0006-0000-0400-000010000000}">
      <text>
        <r>
          <rPr>
            <sz val="9"/>
            <color rgb="FF000000"/>
            <rFont val="Calibri"/>
          </rPr>
          <t>YEARMILE {not displaying table with 221 unique values}</t>
        </r>
      </text>
    </comment>
    <comment ref="A2613" authorId="0" shapeId="0" xr:uid="{00000000-0006-0000-0400-000011000000}">
      <text>
        <r>
          <rPr>
            <sz val="9"/>
            <color rgb="FF000000"/>
            <rFont val="Calibri"/>
          </rPr>
          <t>GCDWORK {not displaying table with 952 unique values}</t>
        </r>
      </text>
    </comment>
    <comment ref="A2696" authorId="0" shapeId="0" xr:uid="{00000000-0006-0000-0400-000012000000}">
      <text>
        <r>
          <rPr>
            <sz val="9"/>
            <color rgb="FF000000"/>
            <rFont val="Calibri"/>
          </rPr>
          <t>DISTTOWK17 {not displaying table with 1,028 unique values}</t>
        </r>
      </text>
    </comment>
    <comment ref="A2701" authorId="0" shapeId="0" xr:uid="{00000000-0006-0000-0400-000013000000}">
      <text>
        <r>
          <rPr>
            <sz val="9"/>
            <color rgb="FF000000"/>
            <rFont val="Calibri"/>
          </rPr>
          <t>DISTTOSC17 {not displaying table with 294 unique values}</t>
        </r>
      </text>
    </comment>
    <comment ref="A2840" authorId="0" shapeId="0" xr:uid="{00000000-0006-0000-0400-000014000000}">
      <text>
        <r>
          <rPr>
            <sz val="9"/>
            <color rgb="FF000000"/>
            <rFont val="Calibri"/>
          </rPr>
          <t>HOUSEID {not displaying table with 2,320 unique values}</t>
        </r>
      </text>
    </comment>
    <comment ref="A3085" authorId="0" shapeId="0" xr:uid="{00000000-0006-0000-0400-000015000000}">
      <text>
        <r>
          <rPr>
            <sz val="9"/>
            <color rgb="FF000000"/>
            <rFont val="Calibri"/>
          </rPr>
          <t>MODEL {not displaying table with 564 unique values}</t>
        </r>
      </text>
    </comment>
    <comment ref="A3148" authorId="0" shapeId="0" xr:uid="{00000000-0006-0000-0400-000016000000}">
      <text>
        <r>
          <rPr>
            <sz val="9"/>
            <color rgb="FF000000"/>
            <rFont val="Calibri"/>
          </rPr>
          <t>OD_READ {not displaying table with 2,754 unique values}</t>
        </r>
      </text>
    </comment>
    <comment ref="A3155" authorId="0" shapeId="0" xr:uid="{00000000-0006-0000-0400-000017000000}">
      <text>
        <r>
          <rPr>
            <sz val="9"/>
            <color rgb="FF000000"/>
            <rFont val="Calibri"/>
          </rPr>
          <t>OD_DATE {not displaying table with 366 unique values}</t>
        </r>
      </text>
    </comment>
    <comment ref="A3259" authorId="0" shapeId="0" xr:uid="{00000000-0006-0000-0400-000018000000}">
      <text>
        <r>
          <rPr>
            <sz val="9"/>
            <color rgb="FF000000"/>
            <rFont val="Calibri"/>
          </rPr>
          <t>VEHMILES {not displaying table with 269 unique values}</t>
        </r>
      </text>
    </comment>
    <comment ref="A3302" authorId="0" shapeId="0" xr:uid="{00000000-0006-0000-0400-000019000000}">
      <text>
        <r>
          <rPr>
            <sz val="9"/>
            <color rgb="FF000000"/>
            <rFont val="Calibri"/>
          </rPr>
          <t>ESTMILES {not displaying table with 213 unique values}</t>
        </r>
      </text>
    </comment>
    <comment ref="A3326" authorId="0" shapeId="0" xr:uid="{00000000-0006-0000-0400-00001A000000}">
      <text>
        <r>
          <rPr>
            <sz val="9"/>
            <color rgb="FF000000"/>
            <rFont val="Calibri"/>
          </rPr>
          <t>ANNMILES {not displaying table with 472 unique values}</t>
        </r>
      </text>
    </comment>
    <comment ref="A3337" authorId="0" shapeId="0" xr:uid="{00000000-0006-0000-0400-00001B000000}">
      <text>
        <r>
          <rPr>
            <sz val="9"/>
            <color rgb="FF000000"/>
            <rFont val="Calibri"/>
          </rPr>
          <t>HOUSEID {not displaying table with 2,168 unique values}</t>
        </r>
      </text>
    </comment>
    <comment ref="A3456" authorId="0" shapeId="0" xr:uid="{00000000-0006-0000-0400-00001C000000}">
      <text>
        <r>
          <rPr>
            <sz val="9"/>
            <color rgb="FF000000"/>
            <rFont val="Calibri"/>
          </rPr>
          <t>STRTTIME {not displaying table with 998 unique values}</t>
        </r>
      </text>
    </comment>
    <comment ref="A3459" authorId="0" shapeId="0" xr:uid="{00000000-0006-0000-0400-00001D000000}">
      <text>
        <r>
          <rPr>
            <sz val="9"/>
            <color rgb="FF000000"/>
            <rFont val="Calibri"/>
          </rPr>
          <t>ENDTIME {not displaying table with 1,054 unique values}</t>
        </r>
      </text>
    </comment>
    <comment ref="A3462" authorId="0" shapeId="0" xr:uid="{00000000-0006-0000-0400-00001E000000}">
      <text>
        <r>
          <rPr>
            <sz val="9"/>
            <color rgb="FF000000"/>
            <rFont val="Calibri"/>
          </rPr>
          <t>STRTTIME17 {not displaying table with 11,413 unique values}</t>
        </r>
      </text>
    </comment>
    <comment ref="A3465" authorId="0" shapeId="0" xr:uid="{00000000-0006-0000-0400-00001F000000}">
      <text>
        <r>
          <rPr>
            <sz val="9"/>
            <color rgb="FF000000"/>
            <rFont val="Calibri"/>
          </rPr>
          <t>ENDTIME17 {not displaying table with 12,043 unique values}</t>
        </r>
      </text>
    </comment>
    <comment ref="A3634" authorId="0" shapeId="0" xr:uid="{00000000-0006-0000-0400-000020000000}">
      <text>
        <r>
          <rPr>
            <sz val="9"/>
            <color rgb="FF000000"/>
            <rFont val="Calibri"/>
          </rPr>
          <t>TRVLCMIN {not displaying table with 192 unique values}</t>
        </r>
      </text>
    </comment>
    <comment ref="A3638" authorId="0" shapeId="0" xr:uid="{00000000-0006-0000-0400-000021000000}">
      <text>
        <r>
          <rPr>
            <sz val="9"/>
            <color rgb="FF000000"/>
            <rFont val="Calibri"/>
          </rPr>
          <t>TRPMILES17 {not displaying table with 7,652 unique values}</t>
        </r>
      </text>
    </comment>
    <comment ref="A3641" authorId="0" shapeId="0" xr:uid="{00000000-0006-0000-0400-000022000000}">
      <text>
        <r>
          <rPr>
            <sz val="9"/>
            <color rgb="FF000000"/>
            <rFont val="Calibri"/>
          </rPr>
          <t>TRPMILES {not displaying table with 7,675 unique values}</t>
        </r>
      </text>
    </comment>
    <comment ref="A4106" authorId="0" shapeId="0" xr:uid="{00000000-0006-0000-0400-000023000000}">
      <text>
        <r>
          <rPr>
            <sz val="9"/>
            <color rgb="FF000000"/>
            <rFont val="Calibri"/>
          </rPr>
          <t>DWELTIME {not displaying table with 570 unique values}</t>
        </r>
      </text>
    </comment>
    <comment ref="A4115" authorId="0" shapeId="0" xr:uid="{00000000-0006-0000-0400-000024000000}">
      <text>
        <r>
          <rPr>
            <sz val="9"/>
            <color rgb="FF000000"/>
            <rFont val="Calibri"/>
          </rPr>
          <t>VMT_MILE {not displaying table with 6,791 unique values}</t>
        </r>
      </text>
    </comment>
    <comment ref="A4119" authorId="0" shapeId="0" xr:uid="{00000000-0006-0000-0400-000025000000}">
      <text>
        <r>
          <rPr>
            <sz val="9"/>
            <color rgb="FF000000"/>
            <rFont val="Calibri"/>
          </rPr>
          <t>VMT_MILE17 {not displaying table with 6,777 unique values}</t>
        </r>
      </text>
    </comment>
    <comment ref="A4466" authorId="0" shapeId="0" xr:uid="{00000000-0006-0000-0400-000026000000}">
      <text>
        <r>
          <rPr>
            <sz val="9"/>
            <color rgb="FF000000"/>
            <rFont val="Calibri"/>
          </rPr>
          <t>TDCASEID {not displaying table with 16,343 unique values}</t>
        </r>
      </text>
    </comment>
    <comment ref="A4470" authorId="0" shapeId="0" xr:uid="{00000000-0006-0000-0400-000027000000}">
      <text>
        <r>
          <rPr>
            <sz val="9"/>
            <color rgb="FF000000"/>
            <rFont val="Calibri"/>
          </rPr>
          <t>HOUSEID {not displaying table with 2,391 unique values}</t>
        </r>
      </text>
    </comment>
    <comment ref="A4534" authorId="0" shapeId="0" xr:uid="{00000000-0006-0000-0400-000028000000}">
      <text>
        <r>
          <rPr>
            <sz val="9"/>
            <color rgb="FF000000"/>
            <rFont val="Calibri"/>
          </rPr>
          <t>LONGITUDE {not displaying table with 9,190 unique values}</t>
        </r>
      </text>
    </comment>
    <comment ref="A4537" authorId="0" shapeId="0" xr:uid="{00000000-0006-0000-0400-000029000000}">
      <text>
        <r>
          <rPr>
            <sz val="9"/>
            <color rgb="FF000000"/>
            <rFont val="Calibri"/>
          </rPr>
          <t>LATITUDE {not displaying table with 9,171 unique values}</t>
        </r>
      </text>
    </comment>
    <comment ref="A4540" authorId="0" shapeId="0" xr:uid="{00000000-0006-0000-0400-00002A000000}">
      <text>
        <r>
          <rPr>
            <sz val="9"/>
            <color rgb="FF000000"/>
            <rFont val="Calibri"/>
          </rPr>
          <t>LOCNAME {not displaying table with 4,863 unique values}</t>
        </r>
      </text>
    </comment>
    <comment ref="A4543" authorId="0" shapeId="0" xr:uid="{00000000-0006-0000-0400-00002B000000}">
      <text>
        <r>
          <rPr>
            <sz val="9"/>
            <color rgb="FF000000"/>
            <rFont val="Calibri"/>
          </rPr>
          <t>STREETADDR {not displaying table with 8,578 unique values}</t>
        </r>
      </text>
    </comment>
    <comment ref="A4546" authorId="0" shapeId="0" xr:uid="{00000000-0006-0000-0400-00002C000000}">
      <text>
        <r>
          <rPr>
            <sz val="9"/>
            <color rgb="FF000000"/>
            <rFont val="Calibri"/>
          </rPr>
          <t>CITY {not displaying table with 448 unique values}</t>
        </r>
      </text>
    </comment>
    <comment ref="A4593" authorId="0" shapeId="0" xr:uid="{00000000-0006-0000-0400-00002D000000}">
      <text>
        <r>
          <rPr>
            <sz val="9"/>
            <color rgb="FF000000"/>
            <rFont val="Calibri"/>
          </rPr>
          <t>ZIP {not displaying table with 669 unique values}</t>
        </r>
      </text>
    </comment>
    <comment ref="A4608" authorId="0" shapeId="0" xr:uid="{00000000-0006-0000-0400-00002E000000}">
      <text>
        <r>
          <rPr>
            <sz val="9"/>
            <color rgb="FF000000"/>
            <rFont val="Calibri"/>
          </rPr>
          <t>FULLADDR {not displaying table with 8,625 unique values}</t>
        </r>
      </text>
    </comment>
    <comment ref="A4611" authorId="0" shapeId="0" xr:uid="{00000000-0006-0000-0400-00002F000000}">
      <text>
        <r>
          <rPr>
            <sz val="9"/>
            <color rgb="FF000000"/>
            <rFont val="Calibri"/>
          </rPr>
          <t>FULLFIPS {not displaying table with 2,714 unique values}</t>
        </r>
      </text>
    </comment>
    <comment ref="A4732" authorId="0" shapeId="0" xr:uid="{00000000-0006-0000-0400-000030000000}">
      <text>
        <r>
          <rPr>
            <sz val="9"/>
            <color rgb="FF000000"/>
            <rFont val="Calibri"/>
          </rPr>
          <t>TRACTFIPS {not displaying table with 1,417 unique values}</t>
        </r>
      </text>
    </comment>
    <comment ref="A4747" authorId="0" shapeId="0" xr:uid="{00000000-0006-0000-0400-000031000000}">
      <text>
        <r>
          <rPr>
            <sz val="9"/>
            <color rgb="FF000000"/>
            <rFont val="Calibri"/>
          </rPr>
          <t>CBSA {not displaying table with 106 unique values}</t>
        </r>
      </text>
    </comment>
  </commentList>
</comments>
</file>

<file path=xl/sharedStrings.xml><?xml version="1.0" encoding="utf-8"?>
<sst xmlns="http://schemas.openxmlformats.org/spreadsheetml/2006/main" count="32733" uniqueCount="6876">
  <si>
    <t>NAME</t>
  </si>
  <si>
    <t>LABEL</t>
  </si>
  <si>
    <t>QUESTION TEXT</t>
  </si>
  <si>
    <t>DATA TYPE</t>
  </si>
  <si>
    <t>VALUES</t>
  </si>
  <si>
    <t>FREQUENCIES</t>
  </si>
  <si>
    <t>TABLE:
HOUSEHOLD</t>
  </si>
  <si>
    <t>TABLE:
PERSON</t>
  </si>
  <si>
    <t>TABLE:
VEHICLE</t>
  </si>
  <si>
    <t>TABLE:
TRIP</t>
  </si>
  <si>
    <t>TABLE:
LOCATION</t>
  </si>
  <si>
    <t>ADDON SPONSOR(S)</t>
  </si>
  <si>
    <t>AGERANGE</t>
  </si>
  <si>
    <t>Age range</t>
  </si>
  <si>
    <t>[$NEXT_HHMEM_AAGE]Because we want to make sure to ask questions that are age appropriate, in which age group [$DO_YOU2] belong...</t>
  </si>
  <si>
    <t>TEXT</t>
  </si>
  <si>
    <t>ALT_1</t>
  </si>
  <si>
    <t>Alternative Mode of Transportation: Public Transportation</t>
  </si>
  <si>
    <t>If you were unable to use your household vehicle(s), which of the following options would be available to you to get you from place to place? 
Please SELECT ALL that apply.</t>
  </si>
  <si>
    <t>ALT_2</t>
  </si>
  <si>
    <t>Alternative Mode of Transportation: Passenger to Friend or Family Member</t>
  </si>
  <si>
    <t>ALT_3</t>
  </si>
  <si>
    <t>Alternative Mode of Transportation: Rental Car</t>
  </si>
  <si>
    <t>ALT_4</t>
  </si>
  <si>
    <t>Alternative Mode of Transportation: Bicycle</t>
  </si>
  <si>
    <t>ALT_5</t>
  </si>
  <si>
    <t>Alternative Mode of Transportation: Walk</t>
  </si>
  <si>
    <t>ALT_6</t>
  </si>
  <si>
    <t>Alternative Mode of Transportation: Taxi</t>
  </si>
  <si>
    <t>ALT_7</t>
  </si>
  <si>
    <t>Alternative Mode of Transportation: None</t>
  </si>
  <si>
    <t>ALT_DK</t>
  </si>
  <si>
    <t>Alternative Mode of Transportation: Does Not Know Answer</t>
  </si>
  <si>
    <t>ALT_O</t>
  </si>
  <si>
    <t>Alternative Mode of Transportation (Other)</t>
  </si>
  <si>
    <t>ALT_RF</t>
  </si>
  <si>
    <t>Alternative Mode of Transportation: Refused to Answer</t>
  </si>
  <si>
    <t>ALT_SE</t>
  </si>
  <si>
    <t>Alternative Mode of Transportation: Something Else</t>
  </si>
  <si>
    <t>ANNMILES</t>
  </si>
  <si>
    <t>Self-reported annualized mile estimate</t>
  </si>
  <si>
    <t>NUMERIC</t>
  </si>
  <si>
    <t>AWAYHOME</t>
  </si>
  <si>
    <t>Reason respondent did not start their travel day with a home-based activity</t>
  </si>
  <si>
    <t>AWAYHOME17</t>
  </si>
  <si>
    <t>Reason respondent was not at their home location at the start of their travel day</t>
  </si>
  <si>
    <t>BIKE</t>
  </si>
  <si>
    <t>Frequency of Bicycle Use for Travel</t>
  </si>
  <si>
    <t>Bike</t>
  </si>
  <si>
    <t>BIKE2SAVE</t>
  </si>
  <si>
    <t>Bicycle to Reduce Financial Burden of Travel</t>
  </si>
  <si>
    <t>I bike to places to save money.</t>
  </si>
  <si>
    <t>BIKE4EX</t>
  </si>
  <si>
    <t>Count of Bike Trips for Exercise</t>
  </si>
  <si>
    <t>How many of these bicycle rides were strictly to exercise?</t>
  </si>
  <si>
    <t>BIKE_D</t>
  </si>
  <si>
    <t xml:space="preserve">Reason for Not Biking More: No nearby paths or trails </t>
  </si>
  <si>
    <t>Which of the following keeps you from biking more?
Please SELECT ALL that apply.</t>
  </si>
  <si>
    <t>BIKE_DK</t>
  </si>
  <si>
    <t>Reason for Not Biking More: Does not know answer</t>
  </si>
  <si>
    <t>BIKE_F</t>
  </si>
  <si>
    <t>Reason for Not Biking More: No sidewalks or sidewalks are in poor condition</t>
  </si>
  <si>
    <t>BIKE_G</t>
  </si>
  <si>
    <t xml:space="preserve">Reason for Not Biking More: Street crossings are unsafe </t>
  </si>
  <si>
    <t>BIKE_K</t>
  </si>
  <si>
    <t>Reason for Not Biking More: Heavy traffic with too many cars</t>
  </si>
  <si>
    <t>BIKE_P</t>
  </si>
  <si>
    <t>Reason for Not Biking More: Not enough lighting at night</t>
  </si>
  <si>
    <t>BIKE_R</t>
  </si>
  <si>
    <t>Reason for Not Biking More: No nearby parks</t>
  </si>
  <si>
    <t>BIKE_RF</t>
  </si>
  <si>
    <t>Reason for Not Biking More: Refused to answer</t>
  </si>
  <si>
    <t>BIKESHARE</t>
  </si>
  <si>
    <t>Count of Bike Share Program Usage</t>
  </si>
  <si>
    <t>Now we want you to think about the past 30 days.  In the past 30 days, how many times did [$YOU1] use a bike share program (e.g. Bikeshare, Zagster, or CycleHop)?</t>
  </si>
  <si>
    <t>BIKE_Z</t>
  </si>
  <si>
    <t>Reason for Not Biking More: None of the above</t>
  </si>
  <si>
    <t>BLOCKFIPS</t>
  </si>
  <si>
    <t>Census Block FIPS Code (2014 TIGER/Line)</t>
  </si>
  <si>
    <t>BORNINUS</t>
  </si>
  <si>
    <t>Born in United States</t>
  </si>
  <si>
    <t xml:space="preserve">[$WERE_YOU_CAP] born in the United States? </t>
  </si>
  <si>
    <t>BUS</t>
  </si>
  <si>
    <t>Frequency of Bus Use for Travel</t>
  </si>
  <si>
    <t>Bus</t>
  </si>
  <si>
    <t>CAR</t>
  </si>
  <si>
    <t>Frequency of Personal Vehicle Use for Travel</t>
  </si>
  <si>
    <t>Personal Vehicle (Car/Truck/SUV)</t>
  </si>
  <si>
    <t>CARRODE</t>
  </si>
  <si>
    <t>Count of People in Vehicle to Work</t>
  </si>
  <si>
    <t>How many people, including [$YOURSELF2], usually rode to work in the vehicle last week?</t>
  </si>
  <si>
    <t>CARSHARE</t>
  </si>
  <si>
    <t>Count of Care Share Program Usage</t>
  </si>
  <si>
    <t>In the past 30 days, how many times did [$YOU1] use a car sharing service where a car can be rented by the hour (e.g. Zipcar or Car2Go)?</t>
  </si>
  <si>
    <t>CBSA</t>
  </si>
  <si>
    <t>OMB Core Based Statistical Area</t>
  </si>
  <si>
    <t>CDIVMSAR</t>
  </si>
  <si>
    <t>Grouping of household by combination of census division, MSA status, and presence of a subway system when population greater than 1 million</t>
  </si>
  <si>
    <t>CENSUS_D</t>
  </si>
  <si>
    <t>2010 Census division classification for the respondent's home address</t>
  </si>
  <si>
    <t>CENSUS_R</t>
  </si>
  <si>
    <t>Census region classification for home address</t>
  </si>
  <si>
    <t>CITY</t>
  </si>
  <si>
    <t>City</t>
  </si>
  <si>
    <t>CNTTDHH</t>
  </si>
  <si>
    <t>Count of household trips on travel day</t>
  </si>
  <si>
    <t>CNTTDTR</t>
  </si>
  <si>
    <t>Count of person trips on travel day</t>
  </si>
  <si>
    <t>CNTYFIPS</t>
  </si>
  <si>
    <t>Census County FIPS Code (2014 TIGER/Line)</t>
  </si>
  <si>
    <t>CONDDK</t>
  </si>
  <si>
    <t>Does Not Know if Medical Condition Results in Reduced Day-to-Day Travel</t>
  </si>
  <si>
    <t>[$MEDCOND_RECALL]
Please SELECT ALL that apply.</t>
  </si>
  <si>
    <t>CONDNIGH</t>
  </si>
  <si>
    <t>Medical Condition Results in Limiting Driving to Daytime</t>
  </si>
  <si>
    <t>CONDNONE</t>
  </si>
  <si>
    <t>No Medical Condition Results in Reduced Day-to-Day Travel</t>
  </si>
  <si>
    <t>CONDPUB</t>
  </si>
  <si>
    <t>Medical Condition Results in Using Bus or Subway Less Frequently</t>
  </si>
  <si>
    <t>CONDRF</t>
  </si>
  <si>
    <t>Refused to Answer if Medical Condition Results in Reduced Day-to-Day Travel</t>
  </si>
  <si>
    <t>CONDRIDE</t>
  </si>
  <si>
    <t>Medical Condition Results in Asking Others for Rides</t>
  </si>
  <si>
    <t>CONDRIVE</t>
  </si>
  <si>
    <t>Medical Condition Results in Giving up Driving</t>
  </si>
  <si>
    <t>CONDSPEC</t>
  </si>
  <si>
    <t>Medical Condition Results in Using Special Transportation Services</t>
  </si>
  <si>
    <t>CONDTAX</t>
  </si>
  <si>
    <t>Medical Condition Results in Using a Reduced Fare Taxi</t>
  </si>
  <si>
    <t>CONDTRAV</t>
  </si>
  <si>
    <t>Medical Condition Results in Reduced Day-to-Day Travel</t>
  </si>
  <si>
    <t>COUNTRY</t>
  </si>
  <si>
    <t>Country</t>
  </si>
  <si>
    <t>CSA</t>
  </si>
  <si>
    <t>OMB Combined Statistical Area</t>
  </si>
  <si>
    <t>DELIVER</t>
  </si>
  <si>
    <t>Count of Times Purchased Online for Delivery in Last 30 Days</t>
  </si>
  <si>
    <t>Thank you for reporting [$YOUR2] travel details! Now we have a few more questions to help us understand why [$YOU_TRAVEL] the way [$YOU_THEY] do.
In the past 30 days, how many times did [$YOU1] purchase something online and have it delivered?</t>
  </si>
  <si>
    <t>DIARY</t>
  </si>
  <si>
    <t>Travel Diary completion status</t>
  </si>
  <si>
    <t>DIARYCMP</t>
  </si>
  <si>
    <t>Person Completed Log</t>
  </si>
  <si>
    <t>Now we are going to ask you about each of the places [$YOU1] went during [$YOUR_THEIR] travel day.  It will help you to have [$YOUR_THEIR] completed travel log with you as you complete this part of the survey.
[$CPLOG_RECALL]</t>
  </si>
  <si>
    <t>DIARYHAV</t>
  </si>
  <si>
    <t>Person Had Log During Survey</t>
  </si>
  <si>
    <t>Do you have [$YOUR2] completed travel log to refer to as you report [$YOUR_THEIR] travel?</t>
  </si>
  <si>
    <t>DIFFDATE</t>
  </si>
  <si>
    <t>Number of Days Between Travel Date and Survey Completion Date</t>
  </si>
  <si>
    <t>DISTTOSC17</t>
  </si>
  <si>
    <t>Road network distance, in miles, between respondent's home location and school location, sourced using Google Distance Matrix API (https://maps.googleapis.com/maps/api/distancematrix/)</t>
  </si>
  <si>
    <t>DISTTOWK17</t>
  </si>
  <si>
    <t>Road network distance, in miles, between respondent's home location and work location, sourced using Google Distance Matrix API (https://maps.googleapis.com/maps/api/distancematrix/)</t>
  </si>
  <si>
    <t>DRIVER</t>
  </si>
  <si>
    <t>Driver status, derived</t>
  </si>
  <si>
    <t>DROP_PRK</t>
  </si>
  <si>
    <t>Parked or Dropped Off at Station</t>
  </si>
  <si>
    <t>Did [$YOU1] park at the [$BUS_TRAIN] station or [$WERE_U_THEY] dropped off?</t>
  </si>
  <si>
    <t>DRVR</t>
  </si>
  <si>
    <t>Driver status</t>
  </si>
  <si>
    <t>[$DO_YOU_CAP] drive?</t>
  </si>
  <si>
    <t>DRVRCNT</t>
  </si>
  <si>
    <t>Number of drivers in household</t>
  </si>
  <si>
    <t>DRVR_FLG</t>
  </si>
  <si>
    <t>Respondent drove on trip</t>
  </si>
  <si>
    <t>DWELTIME</t>
  </si>
  <si>
    <t>Time at destination</t>
  </si>
  <si>
    <t>EDUC</t>
  </si>
  <si>
    <t>Educational Attainment</t>
  </si>
  <si>
    <t>What is the highest grade or degree that [$YOU_HAVE] earned?</t>
  </si>
  <si>
    <t>ENDAMPM</t>
  </si>
  <si>
    <t>Trip End Time: AM/PM</t>
  </si>
  <si>
    <t>What time did [$YOU1] arrive here?
You left the previous place [$LOCNAME] at [$LOCDEPTIME]</t>
  </si>
  <si>
    <t>ENDHOUR</t>
  </si>
  <si>
    <t>Trip End Time: Hour (1-12)</t>
  </si>
  <si>
    <t>ENDMINTE</t>
  </si>
  <si>
    <t>Trip End Time: Minute (0-59)</t>
  </si>
  <si>
    <t>ENDTIME</t>
  </si>
  <si>
    <t>Trip End Time (HHMM)</t>
  </si>
  <si>
    <t>ENDTIME17</t>
  </si>
  <si>
    <t>Trip End Time (ISO 8601 Date and Time)</t>
  </si>
  <si>
    <t>ESTMILE2</t>
  </si>
  <si>
    <t>Range of Estimated Miles Driven in Vehicle</t>
  </si>
  <si>
    <t>Would you say it was...</t>
  </si>
  <si>
    <t>ESTMILES</t>
  </si>
  <si>
    <t>Estimated Miles Driven in Vehicle</t>
  </si>
  <si>
    <t>About how many miles has this vehicle been driven by all drivers since [$YOU_HAVE2:R[$SELPERNO:C]] had it?</t>
  </si>
  <si>
    <t>FLAG100</t>
  </si>
  <si>
    <t>Whether all household members completed interview</t>
  </si>
  <si>
    <t>FLEXTIME</t>
  </si>
  <si>
    <t>Flex Time</t>
  </si>
  <si>
    <t>At [$YOUR_THEIR][$PRIMARY] job, [$DO_YOU] have the ability to set or change [$YOUR_THEIR] own start time?</t>
  </si>
  <si>
    <t>FRSTHM</t>
  </si>
  <si>
    <t>Travel day began with a home-based activity</t>
  </si>
  <si>
    <t>FRSTHM17</t>
  </si>
  <si>
    <t>Travel day began at home location</t>
  </si>
  <si>
    <t>FUELTYPE</t>
  </si>
  <si>
    <t>Fuel Type</t>
  </si>
  <si>
    <t xml:space="preserve">What type of fuel does it run on? </t>
  </si>
  <si>
    <t>FUELTYPE_O</t>
  </si>
  <si>
    <t>Fuel Type (Other)</t>
  </si>
  <si>
    <t xml:space="preserve">Please describe what type of fuel it runs on. </t>
  </si>
  <si>
    <t>FULLADDR</t>
  </si>
  <si>
    <t>Complete Address with Formatting</t>
  </si>
  <si>
    <t>FULLFIPS</t>
  </si>
  <si>
    <t>Census Block FIPS Code (Comprehensive) (2014 TIGER/Line)</t>
  </si>
  <si>
    <t>FUTURE</t>
  </si>
  <si>
    <t>Participate in Follow-Up Survey</t>
  </si>
  <si>
    <t>Would you be willing to participate in a follow-up survey?</t>
  </si>
  <si>
    <t>Texas Department of Transportation
North Central Texas Council of Governments
Arizona Department of Transportation
Des Moines Metropolitan Planning Organization
Georgia Department of Transportation
Maryland State Highway Administration
North Carolina Department of Transportation</t>
  </si>
  <si>
    <t>GASPRICE</t>
  </si>
  <si>
    <t>Price of gasoline, in cents, on respondent's travel day</t>
  </si>
  <si>
    <t>GCDWORK</t>
  </si>
  <si>
    <t>Minimum geodesic (Great Circle) distance between home location and work location in meters, using WGS84 coordinate system</t>
  </si>
  <si>
    <t>GT1JBLWK</t>
  </si>
  <si>
    <t>More than One Job</t>
  </si>
  <si>
    <t>[$DO_YOU_CAP2] have more than one job?  We mean more than one employer, not just multiple job sites.</t>
  </si>
  <si>
    <t>HBHTNRNT</t>
  </si>
  <si>
    <t>Category of the percent of renter-occupied housing in the census block group of the household's home location.</t>
  </si>
  <si>
    <t>HBHTNRNT17</t>
  </si>
  <si>
    <t>Percent of renter-occupied housing in the census block group of the household's home location.</t>
  </si>
  <si>
    <t>HBPPOPDN</t>
  </si>
  <si>
    <t>Category of population density (persons per square mile) in the census block group of the household's home location.</t>
  </si>
  <si>
    <t>HBPPOPDN17</t>
  </si>
  <si>
    <t>Population density (persons per square mile) in the census block group of the household's home location.</t>
  </si>
  <si>
    <t>HBRESDN</t>
  </si>
  <si>
    <t>Category of housing units per square mile in the census block group of the household's home location.</t>
  </si>
  <si>
    <t>HBRESDN17</t>
  </si>
  <si>
    <t>Housing units per square mile in the census block group of the household's home location.</t>
  </si>
  <si>
    <t>HEALTH</t>
  </si>
  <si>
    <t>Opinion of Health</t>
  </si>
  <si>
    <t>Would you say that in general [$YOUR2] health is...</t>
  </si>
  <si>
    <t>HFUEL</t>
  </si>
  <si>
    <t>Type of Hybrid Vehicle</t>
  </si>
  <si>
    <t>What type of vehicle is it?</t>
  </si>
  <si>
    <t>HFUEL_O</t>
  </si>
  <si>
    <t>Type of Hybrid Vehicle (Other)</t>
  </si>
  <si>
    <t xml:space="preserve">Please describe the type of hybrid vehicle it is? </t>
  </si>
  <si>
    <t>HH_CBSA</t>
  </si>
  <si>
    <t>Core Based Statistical Area (CBSA) FIPS code for the respondent's home address</t>
  </si>
  <si>
    <t>HHFAMINC</t>
  </si>
  <si>
    <t>Household income</t>
  </si>
  <si>
    <t>Please identify which category represents your total household income, before taxes, for last year.</t>
  </si>
  <si>
    <t>HH_HISP</t>
  </si>
  <si>
    <t>Hispanic status of household respondent</t>
  </si>
  <si>
    <t>HHMEMDRV</t>
  </si>
  <si>
    <t>Household member drove on trip</t>
  </si>
  <si>
    <t>HH_ONTD</t>
  </si>
  <si>
    <t>Number of household members on trip including respondent</t>
  </si>
  <si>
    <t>HH_RACE</t>
  </si>
  <si>
    <t>Race of household respondent</t>
  </si>
  <si>
    <t>HHRELATD</t>
  </si>
  <si>
    <t>At least two household persons are related</t>
  </si>
  <si>
    <t>HHRESP</t>
  </si>
  <si>
    <t>Person identifier of household respondent</t>
  </si>
  <si>
    <t xml:space="preserve">First, we will start with some questions about your household. Please select your name from the drop down list below. 
The person providing this information needs to be an adult household member. 
</t>
  </si>
  <si>
    <t>HHSIZE</t>
  </si>
  <si>
    <t>Count of household members</t>
  </si>
  <si>
    <t>Including yourself, how many people live in your home?</t>
  </si>
  <si>
    <t>HHSTATE</t>
  </si>
  <si>
    <t>Household state</t>
  </si>
  <si>
    <t>HHSTFIPS</t>
  </si>
  <si>
    <t>State FIPS for household address</t>
  </si>
  <si>
    <t>HHVEHCNT</t>
  </si>
  <si>
    <t>Count of household vehicles</t>
  </si>
  <si>
    <t>How many motor vehicles are owned, leased, or available for regular use by the people who currently live in your household?
Please be sure to include motorcycles, mopeds and RVs.</t>
  </si>
  <si>
    <t>HOMEOWN</t>
  </si>
  <si>
    <t>Home Ownership</t>
  </si>
  <si>
    <t>Do you own or rent your home?</t>
  </si>
  <si>
    <t>HOMEOWN_IMP</t>
  </si>
  <si>
    <t>Home Ownership (imputed)</t>
  </si>
  <si>
    <t>HOMEOWOS</t>
  </si>
  <si>
    <t>Home Ownership (Other)</t>
  </si>
  <si>
    <t>Please describe your arrangement.</t>
  </si>
  <si>
    <t>HOUSEID</t>
  </si>
  <si>
    <t>VEHICLE Table: Household Identifier
PERSON Table: Household Identifier
TRIP Table: Household Identifier
LOCATION Table: Household Identifier
HOUSEHOLD Table: Household Identifier</t>
  </si>
  <si>
    <t>HOWFRPOS</t>
  </si>
  <si>
    <t>Mode(s) Used from Transit to Trip Destination (Other)</t>
  </si>
  <si>
    <t xml:space="preserve">Please describe how [$YOU1] got from the [$MODETEXT] to [$LOCNAME]?   </t>
  </si>
  <si>
    <t>HOWPUBOS</t>
  </si>
  <si>
    <t>Mode(s) Used to Transit from Trip Origin (Other)</t>
  </si>
  <si>
    <t xml:space="preserve">How did [$YOU1] get to [$MODETEXT]? </t>
  </si>
  <si>
    <t>HTEEMPDN</t>
  </si>
  <si>
    <t>Category of workers per square mile in the census tract of the household's home location.</t>
  </si>
  <si>
    <t>HTEEMPDN17</t>
  </si>
  <si>
    <t>Workers per square mile in the census tract of the household's home location.</t>
  </si>
  <si>
    <t>HTHTNRNT</t>
  </si>
  <si>
    <t>Category of the percent of renter-occupied housing in the census tract of the household's home location.</t>
  </si>
  <si>
    <t>HTHTNRNT17</t>
  </si>
  <si>
    <t>Percent of renter-occupied housing in the census tract of the household's home location.</t>
  </si>
  <si>
    <t>HTPPOPDN</t>
  </si>
  <si>
    <t>Category of population density (persons per square mile) in the census tract of the household's home location.</t>
  </si>
  <si>
    <t>HTPPOPDN17</t>
  </si>
  <si>
    <t>Population density (persons per square mile) in the census tract of the household's home location.</t>
  </si>
  <si>
    <t>HTRESDN</t>
  </si>
  <si>
    <t>Category of housing units per square mile in the census tract of the household's home location.</t>
  </si>
  <si>
    <t>HTRESDN17</t>
  </si>
  <si>
    <t>Housing units per square mile in the census tract of the household's home location.</t>
  </si>
  <si>
    <t>HYBRID</t>
  </si>
  <si>
    <t>Hybrid vehicle</t>
  </si>
  <si>
    <t>INVEST_1</t>
  </si>
  <si>
    <t>Transportation Investments: New roadways</t>
  </si>
  <si>
    <t xml:space="preserve">What type of transportation investments should the [$STATE_REGION] focus on?  Please SELECT YOUR TOP THREE choices.  </t>
  </si>
  <si>
    <t>Arizona Department of Transportation
Des Moines Metropolitan Planning Organization
Indian Nations Council of Governments</t>
  </si>
  <si>
    <t>INVEST_10</t>
  </si>
  <si>
    <t>Transportation Investments: Refused signal Coordination</t>
  </si>
  <si>
    <t>Indian Nations Council of Governments
Des Moines Metropolitan Planning Organization
Arizona Department of Transportation</t>
  </si>
  <si>
    <t>INVEST_2</t>
  </si>
  <si>
    <t>Transportation Investments: Existing roadway maintenance / reconstruction</t>
  </si>
  <si>
    <t>INVEST_3</t>
  </si>
  <si>
    <t>Transportation Investments: Public transportation</t>
  </si>
  <si>
    <t>Indian Nations Council of Governments
Arizona Department of Transportation
Des Moines Metropolitan Planning Organization</t>
  </si>
  <si>
    <t>INVEST_4</t>
  </si>
  <si>
    <t>Transportation Investments: Sidewalks</t>
  </si>
  <si>
    <t>Arizona Department of Transportation
Indian Nations Council of Governments
Des Moines Metropolitan Planning Organization</t>
  </si>
  <si>
    <t>INVEST_5</t>
  </si>
  <si>
    <t>Transportation Investments: Parking</t>
  </si>
  <si>
    <t>INVEST_6</t>
  </si>
  <si>
    <t>Transportation Investments: High-occupancy vehicle lanes</t>
  </si>
  <si>
    <t>Des Moines Metropolitan Planning Organization
Arizona Department of Transportation
Indian Nations Council of Governments</t>
  </si>
  <si>
    <t>INVEST_7</t>
  </si>
  <si>
    <t>Transportation Investments: Bike lanes and paths</t>
  </si>
  <si>
    <t>INVEST_8</t>
  </si>
  <si>
    <t>Transportation Investments: Bike lanes</t>
  </si>
  <si>
    <t>INVEST_9</t>
  </si>
  <si>
    <t>Transportation Investments: Recreational trails</t>
  </si>
  <si>
    <t>INVEST_DK</t>
  </si>
  <si>
    <t>Transportation Investments: Does Not Know Answer</t>
  </si>
  <si>
    <t>INVEST_NA</t>
  </si>
  <si>
    <t>Transportation Investments: No other reasons</t>
  </si>
  <si>
    <t>INVEST_RF</t>
  </si>
  <si>
    <t>Transportation Investments: Refused to Answer</t>
  </si>
  <si>
    <t>JOBCATOS</t>
  </si>
  <si>
    <t>Job Category (Other)</t>
  </si>
  <si>
    <t>Please describe [$YOUR2_2] primary job.</t>
  </si>
  <si>
    <t>LANDLINE</t>
  </si>
  <si>
    <t>Landline Telephone Status</t>
  </si>
  <si>
    <t>Do you have a landline telephone?</t>
  </si>
  <si>
    <t>LANG</t>
  </si>
  <si>
    <t>Survey Language</t>
  </si>
  <si>
    <t>What language do you prefer?</t>
  </si>
  <si>
    <t>LATITUDE</t>
  </si>
  <si>
    <t>Latitude (WGS 84 / EPSG: 4326)</t>
  </si>
  <si>
    <t>LD_BUSNSS</t>
  </si>
  <si>
    <t>Count of 50 Mile One-Way Trips Made for Business Purpose</t>
  </si>
  <si>
    <t>Of these [$LONGDIST] trips, how many were for business travel?  Do not include any trips made as a daily commute if applicable.</t>
  </si>
  <si>
    <t>Arizona Department of Transportation</t>
  </si>
  <si>
    <t>LD_CITY</t>
  </si>
  <si>
    <t>City Name of Most Frequent Location of 50 Mile One-Way Trips</t>
  </si>
  <si>
    <t>What is the one most frequent location that [$YOU_YOURHH] traveled to?
City:</t>
  </si>
  <si>
    <t>LD_DIST</t>
  </si>
  <si>
    <t>Road network distance, in miles, between respondent's home location and geographical center of most frequently visited long distance city. Network distance and city's geographical center sourced using Google Distance Matrix API.</t>
  </si>
  <si>
    <t>LD_MODE</t>
  </si>
  <si>
    <t>Mode Used on 50 Mile One-Way Trips</t>
  </si>
  <si>
    <t>What was the main method of travel for the majority of [$YOU_YOURHH3] long distance trips? If most trips involved more than one mode of travel, please SELECT THE ONE that was used for the longest segment on most trips.</t>
  </si>
  <si>
    <t>LD_STATE</t>
  </si>
  <si>
    <t>State Name of Most Frequent Location of 50 Mile One-Way Trips</t>
  </si>
  <si>
    <t>State:</t>
  </si>
  <si>
    <t>LIF_CYC</t>
  </si>
  <si>
    <t>Life Cycle classification for the household, derived by attributes pertaining to age, relationship, and work status.</t>
  </si>
  <si>
    <t>LOCNAME</t>
  </si>
  <si>
    <t>Name of Location (Entered/Selected by Respondent)</t>
  </si>
  <si>
    <t/>
  </si>
  <si>
    <t>LOCNO</t>
  </si>
  <si>
    <t>TRIP Table: Trip Destination Location Identifier
LOCATION Table: Location Identifier</t>
  </si>
  <si>
    <t>LOCTYPE</t>
  </si>
  <si>
    <t>Type of Location</t>
  </si>
  <si>
    <t>LONGDIST</t>
  </si>
  <si>
    <t>Count of One-Way Trips at Least 50 Miles from Home</t>
  </si>
  <si>
    <t>How many trips did [$YOU_YOURHH] make over the past two months that were at least 50 miles (one-way) from your home?  Do not include any trips made as a daily commute, if applicable.</t>
  </si>
  <si>
    <t>Maryland State Highway Administration
Iowa Northland Regional Council of Governments
Arizona Department of Transportation</t>
  </si>
  <si>
    <t>LONGITUDE</t>
  </si>
  <si>
    <t>Longitude (WGS 84 / EPSG: 4326)</t>
  </si>
  <si>
    <t>LOOP_TRIP</t>
  </si>
  <si>
    <t>Trip origin and destination at identical location</t>
  </si>
  <si>
    <t>LPACT</t>
  </si>
  <si>
    <t>Count of Times of Light or Moderate Physical Activity in Past Week</t>
  </si>
  <si>
    <t>During a typical week how many times [$DO_YOU] do light or moderate physical activity for more than 30 minutes?</t>
  </si>
  <si>
    <t>LSTTRDAY17</t>
  </si>
  <si>
    <t>Last trip before travel day</t>
  </si>
  <si>
    <t>When was the last time [$YOU1] made a trip to another address before [$TRAVDATE]?</t>
  </si>
  <si>
    <t>MAKE</t>
  </si>
  <si>
    <t>Vehicle Make</t>
  </si>
  <si>
    <t xml:space="preserve">What is the make of this vehicle?
Click and type below to quickly find the make:
</t>
  </si>
  <si>
    <t>MAKE_O</t>
  </si>
  <si>
    <t>Vehicle Make (Other)</t>
  </si>
  <si>
    <t>Please describe the make of this vehicle.</t>
  </si>
  <si>
    <t>MCA8_OS</t>
  </si>
  <si>
    <t>Medical Device Used: Something Else</t>
  </si>
  <si>
    <t>[$DO_YOU_CAP] use any of the following? 
Please SELECT ALL that apply.</t>
  </si>
  <si>
    <t>MCA8_OTH</t>
  </si>
  <si>
    <t>Medical Device Used (Other)</t>
  </si>
  <si>
    <t>Please describe the device.</t>
  </si>
  <si>
    <t>MCUSED</t>
  </si>
  <si>
    <t>Count of Motorcycle or Moped Trips</t>
  </si>
  <si>
    <t>In the past 30 days, about how many times [$HAVE_YOU] driven a motorcycle or moped on public roadways?</t>
  </si>
  <si>
    <t>MEDCOND</t>
  </si>
  <si>
    <t>Medical Condition</t>
  </si>
  <si>
    <t>[$DO_YOU_CAP] have a condition or handicap that makes it difficult to travel outside of the home?</t>
  </si>
  <si>
    <t>MEDCOND6</t>
  </si>
  <si>
    <t>Medical Condition, How Long</t>
  </si>
  <si>
    <t>How long [$HAVE_YOU] had this condition?</t>
  </si>
  <si>
    <t>MODEL</t>
  </si>
  <si>
    <t>Vehicle Model</t>
  </si>
  <si>
    <t>What is the model of this vehicle?
Click and type below to quickly find the model:</t>
  </si>
  <si>
    <t>MODEL_O</t>
  </si>
  <si>
    <t>Vehicle Model (Other)</t>
  </si>
  <si>
    <t>Please describe the model of this vehicle.</t>
  </si>
  <si>
    <t>MSACAT</t>
  </si>
  <si>
    <t>Metropolitan Statistical Area (MSA) category for the household's home address, based on household's home geocode and TIGER/Line Shapefiles.</t>
  </si>
  <si>
    <t>MSASIZE</t>
  </si>
  <si>
    <t>Population size category of the Metropolitan Statistical Area (MSA), from the 2010-2014 five-year American Community Survey (ACS) API.</t>
  </si>
  <si>
    <t>NBIKETRP</t>
  </si>
  <si>
    <t>Count of Bike Trips</t>
  </si>
  <si>
    <t xml:space="preserve">In the past 7 days, how many times did [$YOU1] ride a bicycle outside including bicycling to go somewhere or for exercise?  </t>
  </si>
  <si>
    <t>NOCONG</t>
  </si>
  <si>
    <t>Trip Time in Minutes to Work without Traffic</t>
  </si>
  <si>
    <t>How many minutes would it take to drive to [$YOUR2] workplace if there was no traffic?</t>
  </si>
  <si>
    <t>NONHHCNT</t>
  </si>
  <si>
    <t>Number of non-household members on trip</t>
  </si>
  <si>
    <t>NUMADLT</t>
  </si>
  <si>
    <t>Count of adult household members at least 18 years old</t>
  </si>
  <si>
    <t>NUMONTRP</t>
  </si>
  <si>
    <t>Number of people on trip including respondent</t>
  </si>
  <si>
    <t>NUMTRANS</t>
  </si>
  <si>
    <t>Count of Transfers</t>
  </si>
  <si>
    <t>How many times during [$YOUR2] commute to [$LOCNAME] did [$YOU_THEY] transfer (bus to bus, train to bus, train to train, etc)?</t>
  </si>
  <si>
    <t>NWALKTRP</t>
  </si>
  <si>
    <t>Count of Walk Trips</t>
  </si>
  <si>
    <t xml:space="preserve">Now we are going to ask some general questions about [$YOUR2] usual travel activities.
In the past 7 days, how many times did [$YOU1] take a walk outside including walks to go somewhere, exercise or to walk the dog? </t>
  </si>
  <si>
    <t>OCCAT</t>
  </si>
  <si>
    <t>Job Category</t>
  </si>
  <si>
    <t>Which best describes [$YOUR2_2][$PRIMARY] job?</t>
  </si>
  <si>
    <t>OD_DATE</t>
  </si>
  <si>
    <t>Odometer Reading: Date</t>
  </si>
  <si>
    <t>When was the odometer reading taken?</t>
  </si>
  <si>
    <t>OD_DAY</t>
  </si>
  <si>
    <t>Odometer Reading: Day</t>
  </si>
  <si>
    <t>ODEVICE</t>
  </si>
  <si>
    <t>Frequency of Other Device Use to Access the Internet (Not Desktop or Laptop Computer, Smartphone, or Tablet)</t>
  </si>
  <si>
    <t>Other device, specify</t>
  </si>
  <si>
    <t>ODEVICE_O</t>
  </si>
  <si>
    <t>Other Device Used to Access the Internet (That is Not a Desktop or Laptop Computer, Smartphone, or Tablet)</t>
  </si>
  <si>
    <t>OD_MONTH</t>
  </si>
  <si>
    <t>Odometer Reading: Month</t>
  </si>
  <si>
    <t>OD_READ</t>
  </si>
  <si>
    <t>Odometer Reading</t>
  </si>
  <si>
    <t>How many miles does [$VEHYEARTEXT] [$MAKETEXT] [$MODELTEXT] have on it?</t>
  </si>
  <si>
    <t>OD_YEAR</t>
  </si>
  <si>
    <t>Odometer Reading: Year</t>
  </si>
  <si>
    <t>O_LOCNO</t>
  </si>
  <si>
    <t>Trip Origin Location Identifier</t>
  </si>
  <si>
    <t>ONTD_P1</t>
  </si>
  <si>
    <t>Household Person Identifier on Trip: 1</t>
  </si>
  <si>
    <t>ONTD_P10</t>
  </si>
  <si>
    <t>Household Person Identifier on Trip: 10</t>
  </si>
  <si>
    <t>ONTD_P11</t>
  </si>
  <si>
    <t>Household Person Identifier on Trip: 11</t>
  </si>
  <si>
    <t>ONTD_P12</t>
  </si>
  <si>
    <t>Household Person Identifier on Trip: 12</t>
  </si>
  <si>
    <t>ONTD_P13</t>
  </si>
  <si>
    <t>Household Person Identifier on Trip: 13</t>
  </si>
  <si>
    <t>ONTD_P14</t>
  </si>
  <si>
    <t>Household Person Identifier on Trip: 14</t>
  </si>
  <si>
    <t>ONTD_P15</t>
  </si>
  <si>
    <t>Household Person Identifier on Trip: 15</t>
  </si>
  <si>
    <t>ONTD_P2</t>
  </si>
  <si>
    <t>Household Person Identifier on Trip: 2</t>
  </si>
  <si>
    <t>ONTD_P3</t>
  </si>
  <si>
    <t>Household Person Identifier on Trip: 3</t>
  </si>
  <si>
    <t>ONTD_P4</t>
  </si>
  <si>
    <t>Household Person Identifier on Trip: 4</t>
  </si>
  <si>
    <t>ONTD_P5</t>
  </si>
  <si>
    <t>Household Person Identifier on Trip: 5</t>
  </si>
  <si>
    <t>ONTD_P6</t>
  </si>
  <si>
    <t>Household Person Identifier on Trip: 6</t>
  </si>
  <si>
    <t>ONTD_P7</t>
  </si>
  <si>
    <t>Household Person Identifier on Trip: 7</t>
  </si>
  <si>
    <t>ONTD_P8</t>
  </si>
  <si>
    <t>Household Person Identifier on Trip: 8</t>
  </si>
  <si>
    <t>ONTD_P9</t>
  </si>
  <si>
    <t>Household Person Identifier on Trip: 9</t>
  </si>
  <si>
    <t>OUTCNTRY</t>
  </si>
  <si>
    <t>Respondent was out of the country on travel day.</t>
  </si>
  <si>
    <t>OUTOFTWN</t>
  </si>
  <si>
    <t>Away from home for entire travel day</t>
  </si>
  <si>
    <t>PARA</t>
  </si>
  <si>
    <t>Frequency of Paratransit Use for Travel</t>
  </si>
  <si>
    <t>Paratransit</t>
  </si>
  <si>
    <t>PAYPROF</t>
  </si>
  <si>
    <t>Work for Pay in Previous Week</t>
  </si>
  <si>
    <t>Last week, did [$YOU2] do any work for either pay or profit?</t>
  </si>
  <si>
    <t>PC</t>
  </si>
  <si>
    <t>Frequency of Desktop or Laptop Computer Use to Access the Internet</t>
  </si>
  <si>
    <t>Desktop or laptop computer</t>
  </si>
  <si>
    <t>PERINDT2</t>
  </si>
  <si>
    <t>Survey Completion Date</t>
  </si>
  <si>
    <t>PERSONID</t>
  </si>
  <si>
    <t>TRIP Table: Person Identifier
PERSON Table: Person Identifier
LOCATION Table: Person Identifier of Work and School Location</t>
  </si>
  <si>
    <t>PHYACT</t>
  </si>
  <si>
    <t>Level of Physical Activity</t>
  </si>
  <si>
    <t>Which of the following statements best describes how physically active [$YOU_ARE] in a typical week?</t>
  </si>
  <si>
    <t>PLACE</t>
  </si>
  <si>
    <t>Travel is a Financial Burden</t>
  </si>
  <si>
    <t>Getting from place to place costs too much.</t>
  </si>
  <si>
    <t>PRICE</t>
  </si>
  <si>
    <t>Price of Gasoline Affects Travel</t>
  </si>
  <si>
    <t>The price of gas affects the number of places I go.</t>
  </si>
  <si>
    <t>PRMACT</t>
  </si>
  <si>
    <t>Primary Activity in Previous Week</t>
  </si>
  <si>
    <t>During most of last week [$WERE_YOU2]...</t>
  </si>
  <si>
    <t>PROXY</t>
  </si>
  <si>
    <t>Trip info from respondent or proxy</t>
  </si>
  <si>
    <t>PSGR_FLG</t>
  </si>
  <si>
    <t>Respondent was passenger on trip</t>
  </si>
  <si>
    <t>PTRANS</t>
  </si>
  <si>
    <t>Public Transportation to Reduce Financial Burden of Travel</t>
  </si>
  <si>
    <t>I use public transportation to save money.</t>
  </si>
  <si>
    <t>PTUSED</t>
  </si>
  <si>
    <t>Count of Public Transit Usage</t>
  </si>
  <si>
    <t>In the past 30 days, about how many days [$HAVE_YOU] used public transportation such as buses, subways, streetcars, or commuter trains?  
Do not include taxis.</t>
  </si>
  <si>
    <t>PUBTIME</t>
  </si>
  <si>
    <t>Minutes Spent Transferring to Work</t>
  </si>
  <si>
    <t>How many minutes each day [$DO_YOU] usually spend transferring during [$YOUR_THEIR] commute TO work (e.g. bus to bus, train to train, bus to train)?</t>
  </si>
  <si>
    <t>PUBTRANS</t>
  </si>
  <si>
    <t>Public transportation used on trip</t>
  </si>
  <si>
    <t>QC_DAY</t>
  </si>
  <si>
    <t>Travel Day Data Quality Code: Person Abandoned Trip Reporting without Completing Entire Day's Travel</t>
  </si>
  <si>
    <t>QC_JOINT</t>
  </si>
  <si>
    <t>Travel Day Data Quality Code: Person Has Contradictory Intra-Household Joint/Shared Travel</t>
  </si>
  <si>
    <t>QC_LOC</t>
  </si>
  <si>
    <t>Travel Day Data Quality Code: Person Has Low-Precision Location Data</t>
  </si>
  <si>
    <t>QC_LOOP</t>
  </si>
  <si>
    <t>Travel Day Data Quality Code: Person Has Unrealistic Back-to-Back/Loop Travel</t>
  </si>
  <si>
    <t>QC_TIME</t>
  </si>
  <si>
    <t>Travel Day Data Quality Code: Person Has Travel with Unrealistic Durations</t>
  </si>
  <si>
    <t>RACE_1</t>
  </si>
  <si>
    <t>Race: White</t>
  </si>
  <si>
    <t>Which of the following describes [$YOUR2_2] race? 
Please SELECT ALL that apply.</t>
  </si>
  <si>
    <t>RACE_2</t>
  </si>
  <si>
    <t>Race: Black or African American</t>
  </si>
  <si>
    <t>RACE_3</t>
  </si>
  <si>
    <t>Race: Asian</t>
  </si>
  <si>
    <t>RACE_4</t>
  </si>
  <si>
    <t>Race: American Indian or Alaska Native</t>
  </si>
  <si>
    <t>RACE_5</t>
  </si>
  <si>
    <t>Race: Native Hawaiian or other Pacific Islander</t>
  </si>
  <si>
    <t>RACE_DK</t>
  </si>
  <si>
    <t>Race: Does Not Know Answer</t>
  </si>
  <si>
    <t>RACE_O</t>
  </si>
  <si>
    <t>Race: Some Other Race Description</t>
  </si>
  <si>
    <t>Please provide [$YOUR2_2] race.</t>
  </si>
  <si>
    <t>RACE_RF</t>
  </si>
  <si>
    <t>Race: Refused to Answer</t>
  </si>
  <si>
    <t>RACE_SE</t>
  </si>
  <si>
    <t>Race: Some Other Race</t>
  </si>
  <si>
    <t>R_AGE</t>
  </si>
  <si>
    <t>Age</t>
  </si>
  <si>
    <t>How old [$ARE_YOU]?
[$DISP_AGE]</t>
  </si>
  <si>
    <t>R_AGE_IMP</t>
  </si>
  <si>
    <t>Age (imputed)</t>
  </si>
  <si>
    <t>RAIL</t>
  </si>
  <si>
    <t>MSA heavy rail status for household</t>
  </si>
  <si>
    <t>RECMODE</t>
  </si>
  <si>
    <t>Survey mode at recruit completion</t>
  </si>
  <si>
    <t>RESP_CNT</t>
  </si>
  <si>
    <t>Count of responding persons per household</t>
  </si>
  <si>
    <t>RETMODE</t>
  </si>
  <si>
    <t>Survey mode at retrieval completion</t>
  </si>
  <si>
    <t>R_HISP</t>
  </si>
  <si>
    <t>Hispanic or Latino Origin</t>
  </si>
  <si>
    <t>[$NEXT_HHMEM_HISP][$ARE_YOU_CAP2] of Hispanic or Latino origin?</t>
  </si>
  <si>
    <t>R_HISP_IMP</t>
  </si>
  <si>
    <t>Hispanic or Latino Origin (imputed)</t>
  </si>
  <si>
    <t>RIDESHARE</t>
  </si>
  <si>
    <t>Count of Rideshare App Usage</t>
  </si>
  <si>
    <t>In the past 30 days, how many times [$HAVE_YOU] purchased a ride with a smartphone rideshare app (e.g. Uber, Lyft, Sidecar)?</t>
  </si>
  <si>
    <t>R_RACE</t>
  </si>
  <si>
    <t>Race</t>
  </si>
  <si>
    <t>R_RACE_IMP</t>
  </si>
  <si>
    <t>Race (imputed)</t>
  </si>
  <si>
    <t>R_RELAT</t>
  </si>
  <si>
    <t>Relationship</t>
  </si>
  <si>
    <t>What is [$YOUR2_2] relationship to [$YOU_R1]? Relationships include biological, adopted and step.</t>
  </si>
  <si>
    <t>R_RETMODE</t>
  </si>
  <si>
    <t>R_SEX</t>
  </si>
  <si>
    <t>Gender</t>
  </si>
  <si>
    <t>Gender:</t>
  </si>
  <si>
    <t>R_SEX_IMP</t>
  </si>
  <si>
    <t>Gender (imputed)</t>
  </si>
  <si>
    <t>SAMEPLC</t>
  </si>
  <si>
    <t>Reason for No Trips</t>
  </si>
  <si>
    <t>What was the main reason that [$YOU1] did not go anywhere on [$YOUR_THEIR] travel day?</t>
  </si>
  <si>
    <t>SAMEPLC_O</t>
  </si>
  <si>
    <t>Reason for No Trips (Other)</t>
  </si>
  <si>
    <t>SAMPAREA</t>
  </si>
  <si>
    <t>Sample Area</t>
  </si>
  <si>
    <t>SAMPSTRAT</t>
  </si>
  <si>
    <t>Primary Sampling Stratum Assignment</t>
  </si>
  <si>
    <t>SCHTRN1</t>
  </si>
  <si>
    <t>Mode to School</t>
  </si>
  <si>
    <t>How [$DO_YOU] usually get to school? 
Please SELECT THE ONE used for most of the distance.</t>
  </si>
  <si>
    <t>SCHTRN1O</t>
  </si>
  <si>
    <t>Mode to School (Other)</t>
  </si>
  <si>
    <t>How [$DO_YOU] usually get to school?</t>
  </si>
  <si>
    <t>SCHTRN2</t>
  </si>
  <si>
    <t>Mode from School</t>
  </si>
  <si>
    <t>How [$DO_YOU] usually leave school?
Please SELECT THE ONE used for most of the distance.</t>
  </si>
  <si>
    <t>SCHTRN2O</t>
  </si>
  <si>
    <t>Mode from School (Other)</t>
  </si>
  <si>
    <t>How [$DO_YOU] usually leave school?</t>
  </si>
  <si>
    <t>SCHTYP</t>
  </si>
  <si>
    <t>Student Status</t>
  </si>
  <si>
    <t>The Department of Transportation and your local community are interested in ensuring travel safety to and from school. The following questions will help identify issues that children might face in traveling between home and school for the most recent school year. 
What type of school [$DO_YOU2] attend?
Think about the most recent school attended.</t>
  </si>
  <si>
    <t>SCRESP</t>
  </si>
  <si>
    <t>Person identifier of mail screener respondent, always 1 to roster self first</t>
  </si>
  <si>
    <t>SPHONE</t>
  </si>
  <si>
    <t>Frequency of Smartphone Use to Access the Internet</t>
  </si>
  <si>
    <t>Smartphone</t>
  </si>
  <si>
    <t>SPONSCHG</t>
  </si>
  <si>
    <t>Flag indicating SPONSOR variable changed during retrieval</t>
  </si>
  <si>
    <t>SPONSOR</t>
  </si>
  <si>
    <t>Addon status when national and addon sample are unioned by geography</t>
  </si>
  <si>
    <t>STATE</t>
  </si>
  <si>
    <t>State</t>
  </si>
  <si>
    <t>STATEFIPS</t>
  </si>
  <si>
    <t>Census State FIPS Code (2014 TIGER/Line)</t>
  </si>
  <si>
    <t>STREETADDR</t>
  </si>
  <si>
    <t>Street Address</t>
  </si>
  <si>
    <t>STRTAMPM</t>
  </si>
  <si>
    <t>Trip Start Time: AM/PM</t>
  </si>
  <si>
    <t>What time did [$YOU1] leave here?</t>
  </si>
  <si>
    <t>STRTHR</t>
  </si>
  <si>
    <t>Trip Start Time: Hour (1-12)</t>
  </si>
  <si>
    <t>STRTMIN</t>
  </si>
  <si>
    <t>Trip Start Time: Minute (0-59)</t>
  </si>
  <si>
    <t>STRTTIME</t>
  </si>
  <si>
    <t>Trip Start Time (HHMM)</t>
  </si>
  <si>
    <t>STRTTIME17</t>
  </si>
  <si>
    <t>Trip Start Time (ISO 8601 Date and Time)</t>
  </si>
  <si>
    <t>TAB</t>
  </si>
  <si>
    <t>Frequency of Tablet Use to Access the Internet</t>
  </si>
  <si>
    <t>Tablet</t>
  </si>
  <si>
    <t>TAXI</t>
  </si>
  <si>
    <t>Frequency of Taxi Service or Rideshare Use for Travel</t>
  </si>
  <si>
    <t>Taxi service or rideshare such as Uber/Lyft</t>
  </si>
  <si>
    <t>TDAYDAT2</t>
  </si>
  <si>
    <t>Survey Travel Date</t>
  </si>
  <si>
    <t>TDAYDATE</t>
  </si>
  <si>
    <t>Date of travel day (YYYYMM)</t>
  </si>
  <si>
    <t>TDCASEID</t>
  </si>
  <si>
    <t>Unique identifier for every trip record in the file</t>
  </si>
  <si>
    <t>TDDRIVER</t>
  </si>
  <si>
    <t>Travel day driver status</t>
  </si>
  <si>
    <t>TDTRPNUM</t>
  </si>
  <si>
    <t>Incrementing travel day trip number, starting at 1 for each person in the file</t>
  </si>
  <si>
    <t>TDWKND</t>
  </si>
  <si>
    <t>Weekend trip</t>
  </si>
  <si>
    <t>TIMETOWK</t>
  </si>
  <si>
    <t>Trip Time to Work in Minutes</t>
  </si>
  <si>
    <t xml:space="preserve">Thinking about [$YOUR_THEIR] daily commute to work last week, how many minutes did it usually take [$YOU1] to get from home to [$YOUR_THEIR][$PRIMARY] job / work? </t>
  </si>
  <si>
    <t>TIMEZONE</t>
  </si>
  <si>
    <t>Time Zone</t>
  </si>
  <si>
    <t>TRACC1</t>
  </si>
  <si>
    <t>Mode(s) Used to Transit from Trip Origin: Walking</t>
  </si>
  <si>
    <t>How did [$YOU1] get to the [$MODETEXT]? 
Please SELECT ALL that apply.</t>
  </si>
  <si>
    <t>TRACC10</t>
  </si>
  <si>
    <t>Mode(s) Used to Transit from Trip Origin: School bus</t>
  </si>
  <si>
    <t>TRACC11</t>
  </si>
  <si>
    <t>Mode(s) Used to Transit from Trip Origin: Public Transit or commuter bus</t>
  </si>
  <si>
    <t>TRACC12</t>
  </si>
  <si>
    <t>Mode(s) Used to Transit from Trip Origin: Paratransit / Dial-a-ride</t>
  </si>
  <si>
    <t>TRACC13</t>
  </si>
  <si>
    <t>Mode(s) Used to Transit from Trip Origin: Private / Charter / Tour/ Shuttle bus</t>
  </si>
  <si>
    <t>TRACC14</t>
  </si>
  <si>
    <t>Mode(s) Used to Transit from Trip Origin: City-to-city bus (Greyhound, Megabus)</t>
  </si>
  <si>
    <t>TRACC15</t>
  </si>
  <si>
    <t>Mode(s) Used to Transit from Trip Origin: Amtrak / Commuter rail</t>
  </si>
  <si>
    <t>TRACC16</t>
  </si>
  <si>
    <t>Mode(s) Used to Transit from Trip Origin: Subway / Elevated / Light rail / Street car</t>
  </si>
  <si>
    <t>TRACC17</t>
  </si>
  <si>
    <t>Mode(s) Used to Transit from Trip Origin: Taxi / Limo (Including Uber / Lyft)</t>
  </si>
  <si>
    <t>TRACC18</t>
  </si>
  <si>
    <t>Mode(s) Used to Transit from Trip Origin: Rental car (including Zipcar / Car2Go)</t>
  </si>
  <si>
    <t>TRACC19</t>
  </si>
  <si>
    <t>Mode(s) Used to Transit from Trip Origin: Airplane</t>
  </si>
  <si>
    <t>TRACC2</t>
  </si>
  <si>
    <t>Mode(s) Used to Transit from Trip Origin: Bicycle</t>
  </si>
  <si>
    <t>TRACC20</t>
  </si>
  <si>
    <t>Mode(s) Used to Transit from Trip Origin: Boat</t>
  </si>
  <si>
    <t>TRACC3</t>
  </si>
  <si>
    <t>Mode(s) Used to Transit from Trip Origin: Car</t>
  </si>
  <si>
    <t>TRACC4</t>
  </si>
  <si>
    <t>Mode(s) Used to Transit from Trip Origin: SUV</t>
  </si>
  <si>
    <t>TRACC5</t>
  </si>
  <si>
    <t>Mode(s) Used to Transit from Trip Origin: Van</t>
  </si>
  <si>
    <t>TRACC6</t>
  </si>
  <si>
    <t>Mode(s) Used to Transit from Trip Origin: Pickup Truck</t>
  </si>
  <si>
    <t>TRACC7</t>
  </si>
  <si>
    <t>Mode(s) Used to Transit from Trip Origin: Golf cart / Segway</t>
  </si>
  <si>
    <t>TRACC8</t>
  </si>
  <si>
    <t>Mode(s) Used to Transit from Trip Origin: Motorcycle / Moped</t>
  </si>
  <si>
    <t>TRACC9</t>
  </si>
  <si>
    <t>Mode(s) Used to Transit from Trip Origin: RV (motor home / ATV / snowmobile)</t>
  </si>
  <si>
    <t>TRACCDK</t>
  </si>
  <si>
    <t>Mode(s) Used to Transit from Trip Origin: Does Not Know Answer</t>
  </si>
  <si>
    <t>TRACC_O</t>
  </si>
  <si>
    <t>Mode(s) Used to Transit from Trip Origin: Something Else</t>
  </si>
  <si>
    <t>TRACCRF</t>
  </si>
  <si>
    <t>Mode(s) Used to Transit from Trip Origin: Refused to Answer</t>
  </si>
  <si>
    <t>TRACCTM</t>
  </si>
  <si>
    <t>Trip Time to Transit Station in Minutes</t>
  </si>
  <si>
    <t xml:space="preserve">How many minutes did it take [$YOU1] to get to the [$BUS_TRAIN] station? </t>
  </si>
  <si>
    <t>TRACTFIPS</t>
  </si>
  <si>
    <t>Census Tract FIPS Code (2014 TIGER/Line)</t>
  </si>
  <si>
    <t>TRAIN</t>
  </si>
  <si>
    <t>Frequency of Train Use for Travel</t>
  </si>
  <si>
    <t>Train/Subway</t>
  </si>
  <si>
    <t>TRAVDAY</t>
  </si>
  <si>
    <t>Travel day - day of week</t>
  </si>
  <si>
    <t>TREGR1</t>
  </si>
  <si>
    <t>Mode(s) Used from Transit to Trip Destination: Walking</t>
  </si>
  <si>
    <t>How did [$YOU1] get from the [$MODETEXT] to [$LOCNAME]?
Please SELECT ALL that apply.</t>
  </si>
  <si>
    <t>TREGR10</t>
  </si>
  <si>
    <t>Mode(s) Used from Transit to Trip Destination: School bus</t>
  </si>
  <si>
    <t>TREGR11</t>
  </si>
  <si>
    <t>Mode(s) Used from Transit to Trip Destination: Public transit or commuter bus</t>
  </si>
  <si>
    <t>TREGR12</t>
  </si>
  <si>
    <t>Mode(s) Used from Transit to Trip Destination: Paratransit / Dial-a-ride</t>
  </si>
  <si>
    <t>TREGR13</t>
  </si>
  <si>
    <t>Mode(s) Used from Transit to Trip Destination: Private / Charter / Tour / Shuttle bus</t>
  </si>
  <si>
    <t>TREGR14</t>
  </si>
  <si>
    <t>Mode(s) Used from Transit to Trip Destination: City-to-city bus (Greyhound / Megabus)</t>
  </si>
  <si>
    <t>TREGR15</t>
  </si>
  <si>
    <t>Mode(s) Used from Transit to Trip Destination: Amtrak / Commuter rail</t>
  </si>
  <si>
    <t>TREGR16</t>
  </si>
  <si>
    <t>Mode(s) Used from Transit to Trip Destination: Subway / Elevated / Light rail / Street car</t>
  </si>
  <si>
    <t>TREGR17</t>
  </si>
  <si>
    <t>Mode(s) Used from Transit to Trip Destination: Taxi / Limo (including Uber / Lyft)</t>
  </si>
  <si>
    <t>TREGR18</t>
  </si>
  <si>
    <t>Mode(s) Used from Transit to Trip Destination: Rental car (including Zipcar / Car2Go)</t>
  </si>
  <si>
    <t>TREGR19</t>
  </si>
  <si>
    <t>Mode(s) Used from Transit to Trip Destination: Airplane</t>
  </si>
  <si>
    <t>TREGR2</t>
  </si>
  <si>
    <t>Mode(s) Used from Transit to Trip Destination: Bicycle</t>
  </si>
  <si>
    <t>TREGR20</t>
  </si>
  <si>
    <t>Mode(s) Used from Transit to Trip Destination: Boat</t>
  </si>
  <si>
    <t>TREGR3</t>
  </si>
  <si>
    <t>Mode(s) Used from Transit to Trip Destination: Car</t>
  </si>
  <si>
    <t>TREGR4</t>
  </si>
  <si>
    <t>Mode(s) Used from Transit to Trip Destination: SUV</t>
  </si>
  <si>
    <t>TREGR5</t>
  </si>
  <si>
    <t>Mode(s) Used from Transit to Trip Destination: Van</t>
  </si>
  <si>
    <t>TREGR6</t>
  </si>
  <si>
    <t>Mode(s) Used from Transit to Trip Destination: Pickup truck</t>
  </si>
  <si>
    <t>TREGR7</t>
  </si>
  <si>
    <t>Mode(s) Used from Transit to Trip Destination: Golf cart / Segway</t>
  </si>
  <si>
    <t>TREGR8</t>
  </si>
  <si>
    <t>Mode(s) Used from Transit to Trip Destination: Motorcycle / Moped</t>
  </si>
  <si>
    <t>TREGR9</t>
  </si>
  <si>
    <t>Mode(s) Used from Transit to Trip Destination: RV (motor home / ATV / snowmobile)</t>
  </si>
  <si>
    <t>TREGRDK</t>
  </si>
  <si>
    <t>Mode(s) Used from Transit to Trip Destination: Does Not Know Answer</t>
  </si>
  <si>
    <t>TREGR_O</t>
  </si>
  <si>
    <t>Mode(s) Used from Transit to Trip Destination: Something else</t>
  </si>
  <si>
    <t>TREGRRF</t>
  </si>
  <si>
    <t>Mode(s) Used from Transit to Trip Destination: Refused to Answer</t>
  </si>
  <si>
    <t>TREGRTM</t>
  </si>
  <si>
    <t>Time to Destination from Transit in Minutes</t>
  </si>
  <si>
    <t xml:space="preserve">How many minutes did it take [$YOU1] to get to [$LOCNAME] from the [$MODETEXT]? </t>
  </si>
  <si>
    <t>TRIP_CODE</t>
  </si>
  <si>
    <t>Household Has at Least One Person with a Travel Day Data Quality Code That Identifies Trip-Related Reporting That Is Not Realistic</t>
  </si>
  <si>
    <t>TRIPPURP</t>
  </si>
  <si>
    <t>Generalized purpose of trip, home-based and non-home based</t>
  </si>
  <si>
    <t>TRPACCMP</t>
  </si>
  <si>
    <t>Count of People on Trip</t>
  </si>
  <si>
    <t>TRPHHACC</t>
  </si>
  <si>
    <t>Count of Household Members on Trip</t>
  </si>
  <si>
    <t>TRPHHVEH</t>
  </si>
  <si>
    <t>Household Vehicle Used on Trip</t>
  </si>
  <si>
    <t>TRPMILES</t>
  </si>
  <si>
    <t>Trip distance in miles, derived from route geometry returned by Google Maps API, or from reported loop-trip distance</t>
  </si>
  <si>
    <t>TRPMILES17</t>
  </si>
  <si>
    <t>Trip distance in miles, derived from route geometry returned by Google Maps API</t>
  </si>
  <si>
    <t>TRPPUB</t>
  </si>
  <si>
    <t>Public Transit Usage on Trip</t>
  </si>
  <si>
    <t>Did [$YOU1] take a bus, subway, train, or some other type of public transportation during this trip?</t>
  </si>
  <si>
    <t>TRPTRANS</t>
  </si>
  <si>
    <t>Trip Mode, derived</t>
  </si>
  <si>
    <t>TRPTRANS17</t>
  </si>
  <si>
    <t>Trip Mode</t>
  </si>
  <si>
    <t>[$MODE_RECALL]</t>
  </si>
  <si>
    <t>TRPTRNOS</t>
  </si>
  <si>
    <t>Trip Mode (Other)</t>
  </si>
  <si>
    <t>How did [$YOU1] get to here?</t>
  </si>
  <si>
    <t>TRVLCMIN</t>
  </si>
  <si>
    <t>Trip Duration in Minutes</t>
  </si>
  <si>
    <t>TRWAITTM</t>
  </si>
  <si>
    <t>Transit wait time in minutes</t>
  </si>
  <si>
    <t>How many minutes did [$YOU1] have to wait for the [$BUS_TRAIN]?</t>
  </si>
  <si>
    <t>URBAN</t>
  </si>
  <si>
    <t>Household's urban area classification, based on home address and 2014 TIGER/Line Shapefile</t>
  </si>
  <si>
    <t>URBANSIZE</t>
  </si>
  <si>
    <t>Urban area size where home address is located</t>
  </si>
  <si>
    <t>URBRUR</t>
  </si>
  <si>
    <t>Household in urban/rural area</t>
  </si>
  <si>
    <t>USEPUBTR</t>
  </si>
  <si>
    <t>Public Transit Usage on Travel Date, derived</t>
  </si>
  <si>
    <t>USEPUBTR17</t>
  </si>
  <si>
    <t>Public Transit Usage on Travel Date</t>
  </si>
  <si>
    <t>Did [$YOU1] use a bus, subway, train, or some other type of public transportation during [$YOUR_THEIR] travel day?</t>
  </si>
  <si>
    <t>VEHAGE</t>
  </si>
  <si>
    <t>Age of vehicle, based on model year</t>
  </si>
  <si>
    <t>VEHID</t>
  </si>
  <si>
    <t>VEHICLE Table: Vehicle Identifier
TRIP Table: Household Vehicle Identifier Used on Trip</t>
  </si>
  <si>
    <t xml:space="preserve">What vehicle was used to get to [$LOCNAME]? </t>
  </si>
  <si>
    <t>VEHMILE2</t>
  </si>
  <si>
    <t>Range of Miles Driven in Vehicle Over Last Year</t>
  </si>
  <si>
    <t>VEHMILES</t>
  </si>
  <si>
    <t>Count of Miles Driven in Vehicle Over Last Year</t>
  </si>
  <si>
    <t>During the past 12 months, about how many miles was the [$VEHYEARTEXT] [$MAKETEXT] [$MODELTEXT] driven by all drivers?</t>
  </si>
  <si>
    <t>VEHOWNED</t>
  </si>
  <si>
    <t>Owned Vehicle Longer than a Year</t>
  </si>
  <si>
    <t>[$HAVE_YOU_CAP:R[$SELPERNO:C]] owned the [$VEHYEARTEXT] [$MAKETEXT] [$MODELTEXT] 1 year or more?</t>
  </si>
  <si>
    <t>VEHOWNMO</t>
  </si>
  <si>
    <t>Months of Vehicle Ownership</t>
  </si>
  <si>
    <t>About how many months [$HAVE_YOU:R[$SELPERNO:C]] owned the [$VEHYEARTEXT] [$MAKETEXT] [$MODELTEXT]?</t>
  </si>
  <si>
    <t>VEHTYOS</t>
  </si>
  <si>
    <t>Vehicle Type (Other)</t>
  </si>
  <si>
    <t xml:space="preserve">Please describe the type of vehicle. </t>
  </si>
  <si>
    <t>VEHTYPE</t>
  </si>
  <si>
    <t>Vehicle Type</t>
  </si>
  <si>
    <t xml:space="preserve">What type of vehicle is the [$VEHYEARTEXT] [$MAKETEXT] [$MODELTEXT]? </t>
  </si>
  <si>
    <t>VEHYEAR</t>
  </si>
  <si>
    <t>Vehicle Year</t>
  </si>
  <si>
    <t>Now, we would like you to tell us about each of the vehicles available to the people that live in your household. 
What's the year of the [$NEW_NEXT] vehicle?</t>
  </si>
  <si>
    <t>VERESTML</t>
  </si>
  <si>
    <t>Confirmation of Estimated Miles Driven in Vehicle</t>
  </si>
  <si>
    <t>You reported that the [$VEHYEARTEXT] [$MAKETEXT] [$MODELTEXT] was driven a total of [$ESTMILES:T] miles by all drivers since [$YOU_HAVE2:R[$SELPERNO:C]] had it.  Please confirm that this is correct?</t>
  </si>
  <si>
    <t>VERMILES</t>
  </si>
  <si>
    <t>Confirmation of Miles Driven in Vehicle</t>
  </si>
  <si>
    <t>You reported that the [$VEHYEARTEXT] [$MAKETEXT] [$MODELTEXT] was driven a total of [$VEHMILES:T] miles by all drivers during the past 12 months. Is this correct?</t>
  </si>
  <si>
    <t>VERYRMIL</t>
  </si>
  <si>
    <t>Confirmation of Miles Personally Driven in Vehicle</t>
  </si>
  <si>
    <t>You just said [$YOU1] personally drove [$YEARMILE:T] miles during the past 12 months.  Is this correct?</t>
  </si>
  <si>
    <t>VMT_MILE</t>
  </si>
  <si>
    <t>Trip distance in miles for personally driven vehicle trips, derived from route geometry returned by Google Maps API</t>
  </si>
  <si>
    <t>VMT_MILE17</t>
  </si>
  <si>
    <t>Trip distance in miles for personally driven vehicle trips, derived from route geometry returned by Google Maps API, or from reported loop-trip distance</t>
  </si>
  <si>
    <t>VPACT</t>
  </si>
  <si>
    <t>Count of Times of Vigorous Physical Activity in Past Week</t>
  </si>
  <si>
    <t>During a typical week how many times [$DO_YOU] do vigorous physical activity for more than 30 minutes?</t>
  </si>
  <si>
    <t>WALK</t>
  </si>
  <si>
    <t>Frequency of Walking for Travel</t>
  </si>
  <si>
    <t>Walk</t>
  </si>
  <si>
    <t>WALK2SAVE</t>
  </si>
  <si>
    <t>Walk to Reduce Financial Burden of Travel</t>
  </si>
  <si>
    <t>I walk to places to save money.</t>
  </si>
  <si>
    <t>WALK4EX</t>
  </si>
  <si>
    <t>Count of Walk Trips for Exercise</t>
  </si>
  <si>
    <t>How many of these walks were strictly for exercise?</t>
  </si>
  <si>
    <t>WALK_D</t>
  </si>
  <si>
    <t xml:space="preserve">Reason for Not Walking More: No nearby paths or trails </t>
  </si>
  <si>
    <t>Which of the following keeps you from walking more? 
Please SELECT ALL that apply.</t>
  </si>
  <si>
    <t>WALK_DK</t>
  </si>
  <si>
    <t>Reason for Not Walking More: Does not know answer</t>
  </si>
  <si>
    <t>WALK_E</t>
  </si>
  <si>
    <t>Reason for Not Walking More: No nearby parks</t>
  </si>
  <si>
    <t>WALK_F</t>
  </si>
  <si>
    <t>Reason for Not Walking More: No sidewalks or sidewalks are in poor condition</t>
  </si>
  <si>
    <t>WALK_G</t>
  </si>
  <si>
    <t>Reason for Not Walking More: Street crossings are unsafe</t>
  </si>
  <si>
    <t>WALK_K</t>
  </si>
  <si>
    <t>Reason for Not Walking More: Heavy traffic with too many cars</t>
  </si>
  <si>
    <t>WALK_Q</t>
  </si>
  <si>
    <t>Reason for Not Walking More: Not enough lighting at night</t>
  </si>
  <si>
    <t>WALK_RF</t>
  </si>
  <si>
    <t>Reason for Not Walking More: Refused to answer</t>
  </si>
  <si>
    <t>WALK_Z</t>
  </si>
  <si>
    <t>Reason for Not Walking More: None of the above</t>
  </si>
  <si>
    <t>W_CANE</t>
  </si>
  <si>
    <t>Medical Device Used: Cane</t>
  </si>
  <si>
    <t>W_CHAIR</t>
  </si>
  <si>
    <t>Medical Device Used: Wheelchair</t>
  </si>
  <si>
    <t>W_CRUTCH</t>
  </si>
  <si>
    <t>Medical Device Used: Crutches</t>
  </si>
  <si>
    <t>W_DOG</t>
  </si>
  <si>
    <t>Medical Device Used: Dog Assistance</t>
  </si>
  <si>
    <t>WEBUSE17</t>
  </si>
  <si>
    <t>Frequency of internet use</t>
  </si>
  <si>
    <t>WHODROVE</t>
  </si>
  <si>
    <t>Person Identifier Who Drove on Trip</t>
  </si>
  <si>
    <t>Who was the driver?</t>
  </si>
  <si>
    <t>WHOMAIN</t>
  </si>
  <si>
    <t>Vehicle Main Driver</t>
  </si>
  <si>
    <t xml:space="preserve">Who is the main driver? </t>
  </si>
  <si>
    <t>WHOPROXY</t>
  </si>
  <si>
    <t>Household Person Identifier Responsible for Trip Reporting</t>
  </si>
  <si>
    <t>WHYFROM</t>
  </si>
  <si>
    <t>Trip Origin Purpose</t>
  </si>
  <si>
    <t>What was [$YOUR2] main activity at [$LOCNAME]?</t>
  </si>
  <si>
    <t>WHYFROM_O</t>
  </si>
  <si>
    <t>Trip Origin Purpose (Other)</t>
  </si>
  <si>
    <t>WHYTO</t>
  </si>
  <si>
    <t>Trip Destination Purpose</t>
  </si>
  <si>
    <t>WHYTRP1S</t>
  </si>
  <si>
    <t>Trip purpose summary</t>
  </si>
  <si>
    <t>WHYTRP90</t>
  </si>
  <si>
    <t>Travel day trip purpose consistent with 1990 NPTS design.</t>
  </si>
  <si>
    <t>WHYTRPSP</t>
  </si>
  <si>
    <t>Trip Destination Purpose (Other)</t>
  </si>
  <si>
    <t>WKBK_DIST</t>
  </si>
  <si>
    <t>Loop trip distance</t>
  </si>
  <si>
    <t>What was the total distance traveled on [$YOUR2] [$MODE] trip (e.g., 1, 5, 10)?</t>
  </si>
  <si>
    <t>WKBK_UNIT</t>
  </si>
  <si>
    <t>Loop trip distance unit</t>
  </si>
  <si>
    <t>WKFMHMXX</t>
  </si>
  <si>
    <t>Count of Days Worked From Home in Last Month</t>
  </si>
  <si>
    <t>In the past 30 days, how many days did [$YOU1] work only from home or an alternate work place?</t>
  </si>
  <si>
    <t>WKFTPT</t>
  </si>
  <si>
    <t>Full-Time or Part-Time Worker</t>
  </si>
  <si>
    <t>[$DO_YOU_CAP2] work full-time or part-time at [$YOUR_THEIR2][$PRIMARY] job?  [$PRIMARY_EXP]
A full time job is at least 35 hours per week.</t>
  </si>
  <si>
    <t>WKRMHM</t>
  </si>
  <si>
    <t>Option of Working from Home</t>
  </si>
  <si>
    <t>[$DO_YOU_CAP] have the option of working from home or an alternate location instead of going into [$YOUR_THEIR][$PRIMARY] workplace?</t>
  </si>
  <si>
    <t>WKSTFIPS</t>
  </si>
  <si>
    <t xml:space="preserve">The state FIPS code for the respondent's geocoded work address. The state FIPS codes were identified using United States Census Bureau 2016 TIGER/Line Shapefiles. </t>
  </si>
  <si>
    <t>W_MTRCHR</t>
  </si>
  <si>
    <t>Medical Device Used: Motorized Wheelchair</t>
  </si>
  <si>
    <t>W_NONE</t>
  </si>
  <si>
    <t>Medical Device Used: None</t>
  </si>
  <si>
    <t>WORKER</t>
  </si>
  <si>
    <t>Worker status</t>
  </si>
  <si>
    <t>WORKER_IMP</t>
  </si>
  <si>
    <t>Worker status (imputed)</t>
  </si>
  <si>
    <t>WRKAMPM</t>
  </si>
  <si>
    <t>Arrival Time at Work: AM/PM</t>
  </si>
  <si>
    <t>WRKCOUNT</t>
  </si>
  <si>
    <t>Number of workers in household</t>
  </si>
  <si>
    <t>WRK_HOME</t>
  </si>
  <si>
    <t>Work from Home</t>
  </si>
  <si>
    <t>[$DO_YOU_CAP2] usually work from home?</t>
  </si>
  <si>
    <t>WRKHR</t>
  </si>
  <si>
    <t>Arrival Time at Work: Hour</t>
  </si>
  <si>
    <t>WRKMIN</t>
  </si>
  <si>
    <t>Arrival Time at Work: Minute</t>
  </si>
  <si>
    <t>WRKTIME</t>
  </si>
  <si>
    <t>Arrival Time at Work</t>
  </si>
  <si>
    <t>What time [$DO_YOU] usually arrive at [$YOUR_THEIR][$PRIMARY] job (e.g. 8:15 AM)?</t>
  </si>
  <si>
    <t>WRKTRANS</t>
  </si>
  <si>
    <t>Mode to Work</t>
  </si>
  <si>
    <t>How did [$YOU2] usually get to [$YOUR_THEIR2][$PRIMARY] job last week?  If you used more than one mode of transportation, please select the one used for most of the distance.</t>
  </si>
  <si>
    <t>WRKTRNOS</t>
  </si>
  <si>
    <t>Mode to Work (Other)</t>
  </si>
  <si>
    <t>How did [$YOU2] usually get to work last week?</t>
  </si>
  <si>
    <t>W_SCOOTR</t>
  </si>
  <si>
    <t>Medical Device Used: Motorized Scooter</t>
  </si>
  <si>
    <t>W_WHCANE</t>
  </si>
  <si>
    <t>Medical Device Used: White Cane</t>
  </si>
  <si>
    <t>W_WLKR</t>
  </si>
  <si>
    <t>Medical Device Used: Walker</t>
  </si>
  <si>
    <t>YEARMIL2</t>
  </si>
  <si>
    <t>Range of Miles Personally Driven in all Vehicles</t>
  </si>
  <si>
    <t>YEARMILE</t>
  </si>
  <si>
    <t>Miles Personally Driven in all Vehicles</t>
  </si>
  <si>
    <t>Please provide your best guess as to how many miles [$YOU1] personally drove during the past 12 months in all motorized vehicles.
Include all miles from work vehicles, rental cars and any other vehicles that are not owned by your household.</t>
  </si>
  <si>
    <t>YOUNGCHILD</t>
  </si>
  <si>
    <t>Count of persons with an age between 0 and 4 in household</t>
  </si>
  <si>
    <t>YRTOUS</t>
  </si>
  <si>
    <t>Year of Arrival in United States</t>
  </si>
  <si>
    <t xml:space="preserve">In what year did [$YOU1] come to the United States? </t>
  </si>
  <si>
    <t>YRTOUS2</t>
  </si>
  <si>
    <t>Range of Year of Arrival in United States</t>
  </si>
  <si>
    <t>Was it...</t>
  </si>
  <si>
    <t>ZIP</t>
  </si>
  <si>
    <t>Postal ZIP Code</t>
  </si>
  <si>
    <t>TABLE</t>
  </si>
  <si>
    <t>VALUE</t>
  </si>
  <si>
    <t>PERSON</t>
  </si>
  <si>
    <t>-8</t>
  </si>
  <si>
    <t>I don't know</t>
  </si>
  <si>
    <t>-7</t>
  </si>
  <si>
    <t>I prefer not to answer</t>
  </si>
  <si>
    <t>-1</t>
  </si>
  <si>
    <t>Appropriate skip</t>
  </si>
  <si>
    <t>01</t>
  </si>
  <si>
    <t xml:space="preserve">0-4 years old </t>
  </si>
  <si>
    <t>02</t>
  </si>
  <si>
    <t>5-15 years old</t>
  </si>
  <si>
    <t>03</t>
  </si>
  <si>
    <t>16-17 years old</t>
  </si>
  <si>
    <t>04</t>
  </si>
  <si>
    <t>18-64 years old</t>
  </si>
  <si>
    <t>05</t>
  </si>
  <si>
    <t>65-75 years old</t>
  </si>
  <si>
    <t>06</t>
  </si>
  <si>
    <t>76 years old or older</t>
  </si>
  <si>
    <t>-9</t>
  </si>
  <si>
    <t>Not ascertained</t>
  </si>
  <si>
    <t>Public transportation (bus, subway, light rail, etc.)</t>
  </si>
  <si>
    <t>Get a ride from a friend or family member</t>
  </si>
  <si>
    <t>Rental car (including Zipcar / Car2Go)</t>
  </si>
  <si>
    <t>Bicycle</t>
  </si>
  <si>
    <t xml:space="preserve">Taxi (regular taxi, Uber, Lyft, etc.) </t>
  </si>
  <si>
    <t>07</t>
  </si>
  <si>
    <t>None</t>
  </si>
  <si>
    <t>97</t>
  </si>
  <si>
    <t>Something Else</t>
  </si>
  <si>
    <t>VEHICLE</t>
  </si>
  <si>
    <t>Work</t>
  </si>
  <si>
    <t xml:space="preserve">Work-related meeting / trip </t>
  </si>
  <si>
    <t>Volunteer activities (not paid)</t>
  </si>
  <si>
    <t>Drop off /pick up someone</t>
  </si>
  <si>
    <t>Change type of transportation</t>
  </si>
  <si>
    <t>08</t>
  </si>
  <si>
    <t>Attend school as a student</t>
  </si>
  <si>
    <t>09</t>
  </si>
  <si>
    <t>Attend child care</t>
  </si>
  <si>
    <t>10</t>
  </si>
  <si>
    <t xml:space="preserve">Attend adult care </t>
  </si>
  <si>
    <t>11</t>
  </si>
  <si>
    <t>Buy goods (groceries, clothes, appliances, gas)</t>
  </si>
  <si>
    <t>12</t>
  </si>
  <si>
    <t>Buy services (dry cleaners, banking, service a car, pet care)</t>
  </si>
  <si>
    <t>13</t>
  </si>
  <si>
    <t>Buy meals (go out for a meal, snack, carry-out)</t>
  </si>
  <si>
    <t>14</t>
  </si>
  <si>
    <t>Other general errands (post office, library)</t>
  </si>
  <si>
    <t>15</t>
  </si>
  <si>
    <t>Recreational activities (visit parks, movies, bars, museums)</t>
  </si>
  <si>
    <t>16</t>
  </si>
  <si>
    <t>Exercise (go for a jog, walk, walk the dog, go to the gym)</t>
  </si>
  <si>
    <t>17</t>
  </si>
  <si>
    <t>Visit friends or relatives</t>
  </si>
  <si>
    <t>18</t>
  </si>
  <si>
    <t>Health care visit (medical, dental, therapy)</t>
  </si>
  <si>
    <t>19</t>
  </si>
  <si>
    <t>Religious or other community activities</t>
  </si>
  <si>
    <t>Something else</t>
  </si>
  <si>
    <t>Regular home activities (chores, sleep)</t>
  </si>
  <si>
    <t>Work from home (paid)</t>
  </si>
  <si>
    <t>HOUSEHOLD</t>
  </si>
  <si>
    <t xml:space="preserve">I prefer not to answer </t>
  </si>
  <si>
    <t xml:space="preserve">Daily </t>
  </si>
  <si>
    <t xml:space="preserve">A few times a week </t>
  </si>
  <si>
    <t xml:space="preserve">A few times a month </t>
  </si>
  <si>
    <t xml:space="preserve">A few times a year </t>
  </si>
  <si>
    <t>Never</t>
  </si>
  <si>
    <t xml:space="preserve">I don't know </t>
  </si>
  <si>
    <t>Strongly agree</t>
  </si>
  <si>
    <t>Agree</t>
  </si>
  <si>
    <t>Neither Agreeor Disagree</t>
  </si>
  <si>
    <t>Disagree</t>
  </si>
  <si>
    <t>Strongly disagree</t>
  </si>
  <si>
    <t>No nearby paths or trails</t>
  </si>
  <si>
    <t xml:space="preserve">No nearby parks </t>
  </si>
  <si>
    <t>No sidewalks or sidewalks are in poor condition</t>
  </si>
  <si>
    <t xml:space="preserve">Street crossings are unsafe </t>
  </si>
  <si>
    <t>Heavy traffic with too many cars</t>
  </si>
  <si>
    <t>Not enough lighting at night</t>
  </si>
  <si>
    <t>None of the above</t>
  </si>
  <si>
    <t>LOCATION</t>
  </si>
  <si>
    <t>Yes</t>
  </si>
  <si>
    <t>No</t>
  </si>
  <si>
    <t>Daily</t>
  </si>
  <si>
    <t>A few times a week</t>
  </si>
  <si>
    <t>New England (ME, NH, VT, CT, MA, RI) MSA or CMSA of 1 million or more with heavy rail</t>
  </si>
  <si>
    <t>New England (ME, NH, VT, CT, MA, RI) MSA or CMSA of 1 million or more without heavy rail</t>
  </si>
  <si>
    <t>New England (ME, NH, VT, CT, MA, RI) MSA of less than 1 million</t>
  </si>
  <si>
    <t>New England (ME, NH, VT, CT, MA, RI) Not in a MSA</t>
  </si>
  <si>
    <t>21</t>
  </si>
  <si>
    <t>Mid-Atlantic (NY, NJ, PA) MSA or CMSA of 1 million or more with heavy rail</t>
  </si>
  <si>
    <t>22</t>
  </si>
  <si>
    <t>Mid-Atlantic (NY, NJ, PA) MSA or CMSA of 1 million or more without heavy rail</t>
  </si>
  <si>
    <t>23</t>
  </si>
  <si>
    <t>Mid-Atlantic (NY, NJ, PA) MSA of less than 1 million</t>
  </si>
  <si>
    <t>24</t>
  </si>
  <si>
    <t>Mid-Atlantic (NY, NJ, PA) Not in a MSA</t>
  </si>
  <si>
    <t>31</t>
  </si>
  <si>
    <t>East North Central (IL, IN, MI, OH, WI) MSA or CMSA of 1 million or more with heavy rail</t>
  </si>
  <si>
    <t>32</t>
  </si>
  <si>
    <t>East North Central (IL, IN, MI, OH, WI) MSA or CMSA of 1 million or more without heavy rail</t>
  </si>
  <si>
    <t>33</t>
  </si>
  <si>
    <t>East North Central (IL, IN, MI, OH, WI) MSA of less than 1 million</t>
  </si>
  <si>
    <t>34</t>
  </si>
  <si>
    <t>East North Central (IL, IN, MI, OH, WI) Not in a MSA</t>
  </si>
  <si>
    <t>41</t>
  </si>
  <si>
    <t>West North Central (IA, KS, MO, MN, ND, NE, SD) MSA or CMSA of 1 million or more with heavy rail</t>
  </si>
  <si>
    <t>42</t>
  </si>
  <si>
    <t>West North Central (IA, KS, MO, MN, ND, NE, SD) MSA or CMSA of 1 million or more without heavy rail</t>
  </si>
  <si>
    <t>43</t>
  </si>
  <si>
    <t>West North Central (IA, KS, MO, MN, ND, NE, SD) MSA of less than 1 million</t>
  </si>
  <si>
    <t>44</t>
  </si>
  <si>
    <t>West North Central (IA, KS, MO, MN, ND, NE, SD) Not in a MSA</t>
  </si>
  <si>
    <t>51</t>
  </si>
  <si>
    <t>South Atlantic (DE, FL, GA, MD, NC, SC, WV, VA) MSA or CMSA of 1 million or more with heavy rail</t>
  </si>
  <si>
    <t>52</t>
  </si>
  <si>
    <t>South Atlantic (DE, FL, GA, MD, NC, SC, WV, VA) MSA or CMSA of 1 million or more without heavy rail</t>
  </si>
  <si>
    <t>53</t>
  </si>
  <si>
    <t>South Atlantic (DE, FL, GA, MD, NC, SC, WV, VA) MSA of less than 1 million</t>
  </si>
  <si>
    <t>54</t>
  </si>
  <si>
    <t>South Atlantic (DE, FL, GA, MD, NC, SC, WV, VA) Not in a MSA</t>
  </si>
  <si>
    <t>61</t>
  </si>
  <si>
    <t>East South Central (AL, KY, MS, TN) MSA or CMSA of 1 million or more with heavy rail</t>
  </si>
  <si>
    <t>62</t>
  </si>
  <si>
    <t>East South Central (AL, KY, MS, TN) MSA or CMSA of 1 million or more without heavy rail</t>
  </si>
  <si>
    <t>63</t>
  </si>
  <si>
    <t>East South Central (AL, KY, MS, TN) MSA of less than 1 million</t>
  </si>
  <si>
    <t>64</t>
  </si>
  <si>
    <t>East South Central (AL, KY, MS, TN) Not in a MSA</t>
  </si>
  <si>
    <t>71</t>
  </si>
  <si>
    <t>West South Central (AR, LA, OK, TX) MSA or CMSA of 1 million or more with heavy rail</t>
  </si>
  <si>
    <t>72</t>
  </si>
  <si>
    <t>West South Central (AR, LA, OK, TX) MSA or CMSA of 1 million or more without heavy rail</t>
  </si>
  <si>
    <t>73</t>
  </si>
  <si>
    <t>West South Central (AR, LA, OK, TX) MSA of less than 1 million</t>
  </si>
  <si>
    <t>74</t>
  </si>
  <si>
    <t>West South Central (AR, LA, OK, TX) Not in a MSA</t>
  </si>
  <si>
    <t>81</t>
  </si>
  <si>
    <t>Mountain (AZ, CO, ID, MT, NM, NV, UT, WY) MSA or CMSA of 1 million or more with heavy rail</t>
  </si>
  <si>
    <t>82</t>
  </si>
  <si>
    <t>Mountain (AZ, CO, ID, MT, NM, NV, UT, WY) MSA or CMSA of 1 million or more without heavy rail</t>
  </si>
  <si>
    <t>83</t>
  </si>
  <si>
    <t>Mountain (AZ, CO, ID, MT, NM, NV, UT, WY) MSA of less than 1 million</t>
  </si>
  <si>
    <t>84</t>
  </si>
  <si>
    <t>Mountain (AZ, CO, ID, MT, NM, NV, UT, WY) Not in a MSA</t>
  </si>
  <si>
    <t>91</t>
  </si>
  <si>
    <t>Pacific (AK, CA, HI, OR, WA) MSA or CMSA of 1 million or more with heavy rail</t>
  </si>
  <si>
    <t>92</t>
  </si>
  <si>
    <t>Pacific (AK, CA, HI, OR, WA) MSA or CMSA of 1 million or more without heavy rail</t>
  </si>
  <si>
    <t>93</t>
  </si>
  <si>
    <t>Pacific (AK, CA, HI, OR, WA) MSA of less than 1 million</t>
  </si>
  <si>
    <t>94</t>
  </si>
  <si>
    <t>Pacific (AK, CA, HI, OR, WA) Not in a MSA</t>
  </si>
  <si>
    <t>New England</t>
  </si>
  <si>
    <t>Middle Atlantic</t>
  </si>
  <si>
    <t>East North Central</t>
  </si>
  <si>
    <t>West North Central</t>
  </si>
  <si>
    <t>South Atlantic</t>
  </si>
  <si>
    <t>East South Central</t>
  </si>
  <si>
    <t>West South Central</t>
  </si>
  <si>
    <t>Mountain</t>
  </si>
  <si>
    <t>Pacific</t>
  </si>
  <si>
    <t>Northeast</t>
  </si>
  <si>
    <t>Midwest</t>
  </si>
  <si>
    <t>South</t>
  </si>
  <si>
    <t>West</t>
  </si>
  <si>
    <t>Reduced [$YOUR2] day-to-day travel</t>
  </si>
  <si>
    <t>Asked others for rides</t>
  </si>
  <si>
    <t>Limited driving to daytime</t>
  </si>
  <si>
    <t>Given up driving altogether</t>
  </si>
  <si>
    <t>Used the bus or subway less frequently</t>
  </si>
  <si>
    <t>Used special transportation services such as Dial-A-Ride</t>
  </si>
  <si>
    <t>Used a reduced fare taxi</t>
  </si>
  <si>
    <t xml:space="preserve">No </t>
  </si>
  <si>
    <t>TRIP</t>
  </si>
  <si>
    <t xml:space="preserve">Parked </t>
  </si>
  <si>
    <t>Dropped off</t>
  </si>
  <si>
    <t>Walked / Biked to [$BUS_TRAIN]</t>
  </si>
  <si>
    <t>Less than a high school graduate</t>
  </si>
  <si>
    <t>High school graduate or GED</t>
  </si>
  <si>
    <t>Some college or associates degree</t>
  </si>
  <si>
    <t>Bachelor's degree</t>
  </si>
  <si>
    <t>Graduate degree or professional degree</t>
  </si>
  <si>
    <t>5,000 miles or less</t>
  </si>
  <si>
    <t>5,001 to 10,000 miles</t>
  </si>
  <si>
    <t>10,001 to 15,000 miles</t>
  </si>
  <si>
    <t>15,001 to 20,000 miles, or</t>
  </si>
  <si>
    <t>More than 20,000 miles?</t>
  </si>
  <si>
    <t>-88</t>
  </si>
  <si>
    <t>-77</t>
  </si>
  <si>
    <t>Gas</t>
  </si>
  <si>
    <t>Diesel</t>
  </si>
  <si>
    <t xml:space="preserve">Hybrid, electric or alternative fuel </t>
  </si>
  <si>
    <t xml:space="preserve">Some other fuel </t>
  </si>
  <si>
    <t>0</t>
  </si>
  <si>
    <t>0-4%</t>
  </si>
  <si>
    <t>5-14%</t>
  </si>
  <si>
    <t>20</t>
  </si>
  <si>
    <t>15-24%</t>
  </si>
  <si>
    <t>30</t>
  </si>
  <si>
    <t>25-34%</t>
  </si>
  <si>
    <t>40</t>
  </si>
  <si>
    <t>35-44%</t>
  </si>
  <si>
    <t>50</t>
  </si>
  <si>
    <t>45-54%</t>
  </si>
  <si>
    <t>60</t>
  </si>
  <si>
    <t>55-64%</t>
  </si>
  <si>
    <t>70</t>
  </si>
  <si>
    <t>65-74%</t>
  </si>
  <si>
    <t>80</t>
  </si>
  <si>
    <t>75-84%</t>
  </si>
  <si>
    <t>90</t>
  </si>
  <si>
    <t>85-94%</t>
  </si>
  <si>
    <t>95</t>
  </si>
  <si>
    <t>95-100%</t>
  </si>
  <si>
    <t>0-99</t>
  </si>
  <si>
    <t>300</t>
  </si>
  <si>
    <t>100-499</t>
  </si>
  <si>
    <t>750</t>
  </si>
  <si>
    <t>500-999</t>
  </si>
  <si>
    <t>1500</t>
  </si>
  <si>
    <t>1,000-1,999</t>
  </si>
  <si>
    <t>3000</t>
  </si>
  <si>
    <t>2,000-3,999</t>
  </si>
  <si>
    <t>7000</t>
  </si>
  <si>
    <t>4,000-9,999</t>
  </si>
  <si>
    <t>17000</t>
  </si>
  <si>
    <t>10,000-24,999</t>
  </si>
  <si>
    <t>30000</t>
  </si>
  <si>
    <t>25,000-999,999</t>
  </si>
  <si>
    <t>Excellent</t>
  </si>
  <si>
    <t>Very good</t>
  </si>
  <si>
    <t>Good</t>
  </si>
  <si>
    <t>Fair</t>
  </si>
  <si>
    <t>Poor</t>
  </si>
  <si>
    <t xml:space="preserve">Biodiesel </t>
  </si>
  <si>
    <t>Plug-in Hybrid (gas/electric e.g., Chevy Volt)</t>
  </si>
  <si>
    <t>Electric (e.g. Nissan Leaf)</t>
  </si>
  <si>
    <t>Hybrid (gas/electric, not plug-in e.g., Toyota Prius)</t>
  </si>
  <si>
    <t>10100</t>
  </si>
  <si>
    <t>Aberdeen, SD</t>
  </si>
  <si>
    <t>10140</t>
  </si>
  <si>
    <t>Aberdeen, WA</t>
  </si>
  <si>
    <t>10180</t>
  </si>
  <si>
    <t>Abilene, TX</t>
  </si>
  <si>
    <t>10300</t>
  </si>
  <si>
    <t>Adrian, MI</t>
  </si>
  <si>
    <t>10420</t>
  </si>
  <si>
    <t>Akron, OH</t>
  </si>
  <si>
    <t>10460</t>
  </si>
  <si>
    <t>Alamogordo, NM</t>
  </si>
  <si>
    <t>10500</t>
  </si>
  <si>
    <t>Albany, GA</t>
  </si>
  <si>
    <t>10540</t>
  </si>
  <si>
    <t>Albany, OR</t>
  </si>
  <si>
    <t>10580</t>
  </si>
  <si>
    <t>Albany-Schenectady-Troy, NY</t>
  </si>
  <si>
    <t>10620</t>
  </si>
  <si>
    <t>Albemarle, NC</t>
  </si>
  <si>
    <t>10660</t>
  </si>
  <si>
    <t>Albert Lea, MN</t>
  </si>
  <si>
    <t>10700</t>
  </si>
  <si>
    <t>Albertville, AL</t>
  </si>
  <si>
    <t>10740</t>
  </si>
  <si>
    <t>Albuquerque, NM</t>
  </si>
  <si>
    <t>10780</t>
  </si>
  <si>
    <t>Alexandria, LA</t>
  </si>
  <si>
    <t>10820</t>
  </si>
  <si>
    <t>Alexandria, MN</t>
  </si>
  <si>
    <t>10860</t>
  </si>
  <si>
    <t>Alice, TX</t>
  </si>
  <si>
    <t>10900</t>
  </si>
  <si>
    <t>Allentown-Bethlehem-Easton, PA-NJ</t>
  </si>
  <si>
    <t>10940</t>
  </si>
  <si>
    <t>Alma, MI</t>
  </si>
  <si>
    <t>10980</t>
  </si>
  <si>
    <t>Alpena, MI</t>
  </si>
  <si>
    <t>11020</t>
  </si>
  <si>
    <t>Altoona, PA</t>
  </si>
  <si>
    <t>11060</t>
  </si>
  <si>
    <t>Altus, OK</t>
  </si>
  <si>
    <t>11100</t>
  </si>
  <si>
    <t>Amarillo, TX</t>
  </si>
  <si>
    <t>11140</t>
  </si>
  <si>
    <t>Americus, GA</t>
  </si>
  <si>
    <t>11180</t>
  </si>
  <si>
    <t>Ames, IA</t>
  </si>
  <si>
    <t>11220</t>
  </si>
  <si>
    <t>Amsterdam, NY</t>
  </si>
  <si>
    <t>11260</t>
  </si>
  <si>
    <t>Anchorage, AK</t>
  </si>
  <si>
    <t>11380</t>
  </si>
  <si>
    <t>Andrews, TX</t>
  </si>
  <si>
    <t>11420</t>
  </si>
  <si>
    <t>Angola, IN</t>
  </si>
  <si>
    <t>11460</t>
  </si>
  <si>
    <t>Ann Arbor, MI</t>
  </si>
  <si>
    <t>11500</t>
  </si>
  <si>
    <t>Anniston-Oxford-Jacksonville, AL</t>
  </si>
  <si>
    <t>11540</t>
  </si>
  <si>
    <t>Appleton, WI</t>
  </si>
  <si>
    <t>11580</t>
  </si>
  <si>
    <t>Arcadia, FL</t>
  </si>
  <si>
    <t>11620</t>
  </si>
  <si>
    <t>Ardmore, OK</t>
  </si>
  <si>
    <t>11680</t>
  </si>
  <si>
    <t>Arkansas City-Winfield, KS</t>
  </si>
  <si>
    <t>11700</t>
  </si>
  <si>
    <t>Asheville, NC</t>
  </si>
  <si>
    <t>11740</t>
  </si>
  <si>
    <t>Ashland, OH</t>
  </si>
  <si>
    <t>11780</t>
  </si>
  <si>
    <t>Ashtabula, OH</t>
  </si>
  <si>
    <t>11820</t>
  </si>
  <si>
    <t>Astoria, OR</t>
  </si>
  <si>
    <t>11860</t>
  </si>
  <si>
    <t>Atchison, KS</t>
  </si>
  <si>
    <t>11900</t>
  </si>
  <si>
    <t>Athens, OH</t>
  </si>
  <si>
    <t>11940</t>
  </si>
  <si>
    <t>Athens, TN</t>
  </si>
  <si>
    <t>11980</t>
  </si>
  <si>
    <t>Athens, TX</t>
  </si>
  <si>
    <t>12020</t>
  </si>
  <si>
    <t>Athens-Clarke County, GA</t>
  </si>
  <si>
    <t>12060</t>
  </si>
  <si>
    <t>Atlanta-Sandy Springs-Roswell, GA</t>
  </si>
  <si>
    <t>12100</t>
  </si>
  <si>
    <t>Atlantic City-Hammonton, NJ</t>
  </si>
  <si>
    <t>12140</t>
  </si>
  <si>
    <t>Auburn, IN</t>
  </si>
  <si>
    <t>12180</t>
  </si>
  <si>
    <t>Auburn, NY</t>
  </si>
  <si>
    <t>12220</t>
  </si>
  <si>
    <t>Auburn-Opelika, AL</t>
  </si>
  <si>
    <t>12260</t>
  </si>
  <si>
    <t>Augusta-Richmond County, GA-SC</t>
  </si>
  <si>
    <t>12300</t>
  </si>
  <si>
    <t>Augusta-Waterville, ME</t>
  </si>
  <si>
    <t>12380</t>
  </si>
  <si>
    <t>Austin, MN</t>
  </si>
  <si>
    <t>12420</t>
  </si>
  <si>
    <t>Austin-Round Rock, TX</t>
  </si>
  <si>
    <t>12460</t>
  </si>
  <si>
    <t>Bainbridge, GA</t>
  </si>
  <si>
    <t>12540</t>
  </si>
  <si>
    <t>Bakersfield, CA</t>
  </si>
  <si>
    <t>12580</t>
  </si>
  <si>
    <t>Baltimore-Columbia-Towson, MD</t>
  </si>
  <si>
    <t>12620</t>
  </si>
  <si>
    <t>Bangor, ME</t>
  </si>
  <si>
    <t>12660</t>
  </si>
  <si>
    <t>Baraboo, WI</t>
  </si>
  <si>
    <t>12680</t>
  </si>
  <si>
    <t>Bardstown, KY</t>
  </si>
  <si>
    <t>12700</t>
  </si>
  <si>
    <t>Barnstable Town, MA</t>
  </si>
  <si>
    <t>12740</t>
  </si>
  <si>
    <t>Barre, VT</t>
  </si>
  <si>
    <t>12780</t>
  </si>
  <si>
    <t>Bartlesville, OK</t>
  </si>
  <si>
    <t>12820</t>
  </si>
  <si>
    <t>Bastrop, LA</t>
  </si>
  <si>
    <t>12860</t>
  </si>
  <si>
    <t>Batavia, NY</t>
  </si>
  <si>
    <t>12940</t>
  </si>
  <si>
    <t>Baton Rouge, LA</t>
  </si>
  <si>
    <t>12980</t>
  </si>
  <si>
    <t>Battle Creek, MI</t>
  </si>
  <si>
    <t>13020</t>
  </si>
  <si>
    <t>Bay City, MI</t>
  </si>
  <si>
    <t>13060</t>
  </si>
  <si>
    <t>Bay City, TX</t>
  </si>
  <si>
    <t>13100</t>
  </si>
  <si>
    <t>Beatrice, NE</t>
  </si>
  <si>
    <t>13140</t>
  </si>
  <si>
    <t>Beaumont-Port Arthur, TX</t>
  </si>
  <si>
    <t>13180</t>
  </si>
  <si>
    <t>Beaver Dam, WI</t>
  </si>
  <si>
    <t>13220</t>
  </si>
  <si>
    <t>Beckley, WV</t>
  </si>
  <si>
    <t>13300</t>
  </si>
  <si>
    <t>Beeville, TX</t>
  </si>
  <si>
    <t>13380</t>
  </si>
  <si>
    <t>Bellingham, WA</t>
  </si>
  <si>
    <t>13420</t>
  </si>
  <si>
    <t>Bemidji, MN</t>
  </si>
  <si>
    <t>13460</t>
  </si>
  <si>
    <t>Bend-Redmond, OR</t>
  </si>
  <si>
    <t>13500</t>
  </si>
  <si>
    <t>Bennettsville, SC</t>
  </si>
  <si>
    <t>13540</t>
  </si>
  <si>
    <t>Bennington, VT</t>
  </si>
  <si>
    <t>13620</t>
  </si>
  <si>
    <t>Berlin, NH-VT</t>
  </si>
  <si>
    <t>13660</t>
  </si>
  <si>
    <t>Big Rapids, MI</t>
  </si>
  <si>
    <t>13700</t>
  </si>
  <si>
    <t>Big Spring, TX</t>
  </si>
  <si>
    <t>13720</t>
  </si>
  <si>
    <t>Big Stone Gap, VA</t>
  </si>
  <si>
    <t>13740</t>
  </si>
  <si>
    <t>Billings, MT</t>
  </si>
  <si>
    <t>13780</t>
  </si>
  <si>
    <t>Binghamton, NY</t>
  </si>
  <si>
    <t>13820</t>
  </si>
  <si>
    <t>Birmingham-Hoover, AL</t>
  </si>
  <si>
    <t>13900</t>
  </si>
  <si>
    <t>Bismarck, ND</t>
  </si>
  <si>
    <t>13940</t>
  </si>
  <si>
    <t>Blackfoot, ID</t>
  </si>
  <si>
    <t>13980</t>
  </si>
  <si>
    <t>Blacksburg-Christiansburg-Radford, VA</t>
  </si>
  <si>
    <t>14010</t>
  </si>
  <si>
    <t>Bloomington, IL</t>
  </si>
  <si>
    <t>14020</t>
  </si>
  <si>
    <t>Bloomington, IN</t>
  </si>
  <si>
    <t>14100</t>
  </si>
  <si>
    <t>Bloomsburg-Berwick, PA</t>
  </si>
  <si>
    <t>14140</t>
  </si>
  <si>
    <t>Bluefield, WV-VA</t>
  </si>
  <si>
    <t>14180</t>
  </si>
  <si>
    <t>Blytheville, AR</t>
  </si>
  <si>
    <t>14220</t>
  </si>
  <si>
    <t>Bogalusa, LA</t>
  </si>
  <si>
    <t>14260</t>
  </si>
  <si>
    <t>Boise City, ID</t>
  </si>
  <si>
    <t>14340</t>
  </si>
  <si>
    <t>Boone, IA</t>
  </si>
  <si>
    <t>14380</t>
  </si>
  <si>
    <t>Boone, NC</t>
  </si>
  <si>
    <t>14420</t>
  </si>
  <si>
    <t>Borger, TX</t>
  </si>
  <si>
    <t>14460</t>
  </si>
  <si>
    <t>Boston-Cambridge-Newton, MA-NH</t>
  </si>
  <si>
    <t>14500</t>
  </si>
  <si>
    <t>Boulder, CO</t>
  </si>
  <si>
    <t>14540</t>
  </si>
  <si>
    <t>Bowling Green, KY</t>
  </si>
  <si>
    <t>14580</t>
  </si>
  <si>
    <t>Bozeman, MT</t>
  </si>
  <si>
    <t>14620</t>
  </si>
  <si>
    <t>Bradford, PA</t>
  </si>
  <si>
    <t>14660</t>
  </si>
  <si>
    <t>Brainerd, MN</t>
  </si>
  <si>
    <t>14700</t>
  </si>
  <si>
    <t>Branson, MO</t>
  </si>
  <si>
    <t>14720</t>
  </si>
  <si>
    <t>Breckenridge, CO</t>
  </si>
  <si>
    <t>14740</t>
  </si>
  <si>
    <t>Bremerton-Silverdale, WA</t>
  </si>
  <si>
    <t>14780</t>
  </si>
  <si>
    <t>Brenham, TX</t>
  </si>
  <si>
    <t>14820</t>
  </si>
  <si>
    <t>Brevard, NC</t>
  </si>
  <si>
    <t>14860</t>
  </si>
  <si>
    <t>Bridgeport-Stamford-Norwalk, CT</t>
  </si>
  <si>
    <t>15100</t>
  </si>
  <si>
    <t>Brookings, SD</t>
  </si>
  <si>
    <t>15180</t>
  </si>
  <si>
    <t>Brownsville-Harlingen, TX</t>
  </si>
  <si>
    <t>15220</t>
  </si>
  <si>
    <t>Brownwood, TX</t>
  </si>
  <si>
    <t>15260</t>
  </si>
  <si>
    <t>Brunswick, GA</t>
  </si>
  <si>
    <t>15340</t>
  </si>
  <si>
    <t>Bucyrus, OH</t>
  </si>
  <si>
    <t>15380</t>
  </si>
  <si>
    <t>Buffalo-Cheektowaga-Niagara Falls, NY</t>
  </si>
  <si>
    <t>15420</t>
  </si>
  <si>
    <t>Burley, ID</t>
  </si>
  <si>
    <t>15460</t>
  </si>
  <si>
    <t>Burlington, IA-IL</t>
  </si>
  <si>
    <t>15500</t>
  </si>
  <si>
    <t>Burlington, NC</t>
  </si>
  <si>
    <t>15540</t>
  </si>
  <si>
    <t>Burlington-South Burlington, VT</t>
  </si>
  <si>
    <t>15580</t>
  </si>
  <si>
    <t>Butte-Silver Bow, MT</t>
  </si>
  <si>
    <t>15620</t>
  </si>
  <si>
    <t>Cadillac, MI</t>
  </si>
  <si>
    <t>15660</t>
  </si>
  <si>
    <t>Calhoun, GA</t>
  </si>
  <si>
    <t>15680</t>
  </si>
  <si>
    <t>California-Lexington Park, MD</t>
  </si>
  <si>
    <t>15700</t>
  </si>
  <si>
    <t>Cambridge, MD</t>
  </si>
  <si>
    <t>15740</t>
  </si>
  <si>
    <t>Cambridge, OH</t>
  </si>
  <si>
    <t>15780</t>
  </si>
  <si>
    <t>Camden, AR</t>
  </si>
  <si>
    <t>15820</t>
  </si>
  <si>
    <t>Campbellsville, KY</t>
  </si>
  <si>
    <t>15860</t>
  </si>
  <si>
    <t>CaÃ±on City, CO</t>
  </si>
  <si>
    <t>15900</t>
  </si>
  <si>
    <t>Canton, IL</t>
  </si>
  <si>
    <t>15940</t>
  </si>
  <si>
    <t>Canton-Massillon, OH</t>
  </si>
  <si>
    <t>15980</t>
  </si>
  <si>
    <t>Cape Coral-Fort Myers, FL</t>
  </si>
  <si>
    <t>16020</t>
  </si>
  <si>
    <t>Cape Girardeau, MO-IL</t>
  </si>
  <si>
    <t>16060</t>
  </si>
  <si>
    <t>Carbondale-Marion, IL</t>
  </si>
  <si>
    <t>16100</t>
  </si>
  <si>
    <t>Carlsbad-Artesia, NM</t>
  </si>
  <si>
    <t>16180</t>
  </si>
  <si>
    <t>Carson City, NV</t>
  </si>
  <si>
    <t>16220</t>
  </si>
  <si>
    <t>Casper, WY</t>
  </si>
  <si>
    <t>16260</t>
  </si>
  <si>
    <t>Cedar City, UT</t>
  </si>
  <si>
    <t>16300</t>
  </si>
  <si>
    <t>Cedar Rapids, IA</t>
  </si>
  <si>
    <t>16340</t>
  </si>
  <si>
    <t>Cedartown, GA</t>
  </si>
  <si>
    <t>16380</t>
  </si>
  <si>
    <t>Celina, OH</t>
  </si>
  <si>
    <t>16460</t>
  </si>
  <si>
    <t>Centralia, IL</t>
  </si>
  <si>
    <t>16500</t>
  </si>
  <si>
    <t>Centralia, WA</t>
  </si>
  <si>
    <t>16540</t>
  </si>
  <si>
    <t>Chambersburg-Waynesboro, PA</t>
  </si>
  <si>
    <t>16580</t>
  </si>
  <si>
    <t>Champaign-Urbana, IL</t>
  </si>
  <si>
    <t>16620</t>
  </si>
  <si>
    <t>Charleston, WV</t>
  </si>
  <si>
    <t>16660</t>
  </si>
  <si>
    <t>Charleston-Mattoon, IL</t>
  </si>
  <si>
    <t>16700</t>
  </si>
  <si>
    <t>Charleston-North Charleston, SC</t>
  </si>
  <si>
    <t>16740</t>
  </si>
  <si>
    <t>Charlotte-Concord-Gastonia, NC-SC</t>
  </si>
  <si>
    <t>16820</t>
  </si>
  <si>
    <t>Charlottesville, VA</t>
  </si>
  <si>
    <t>16860</t>
  </si>
  <si>
    <t>Chattanooga, TN-GA</t>
  </si>
  <si>
    <t>16940</t>
  </si>
  <si>
    <t>Cheyenne, WY</t>
  </si>
  <si>
    <t>16980</t>
  </si>
  <si>
    <t>Chicago-Naperville-Elgin, IL-IN-WI</t>
  </si>
  <si>
    <t>17020</t>
  </si>
  <si>
    <t>Chico, CA</t>
  </si>
  <si>
    <t>17060</t>
  </si>
  <si>
    <t>Chillicothe, OH</t>
  </si>
  <si>
    <t>17140</t>
  </si>
  <si>
    <t>Cincinnati, OH-KY-IN</t>
  </si>
  <si>
    <t>17200</t>
  </si>
  <si>
    <t>Claremont-Lebanon, NH-VT</t>
  </si>
  <si>
    <t>17220</t>
  </si>
  <si>
    <t>Clarksburg, WV</t>
  </si>
  <si>
    <t>17300</t>
  </si>
  <si>
    <t>Clarksville, TN-KY</t>
  </si>
  <si>
    <t>17340</t>
  </si>
  <si>
    <t>Clearlake, CA</t>
  </si>
  <si>
    <t>17380</t>
  </si>
  <si>
    <t>Cleveland, MS</t>
  </si>
  <si>
    <t>17420</t>
  </si>
  <si>
    <t>Cleveland, TN</t>
  </si>
  <si>
    <t>17460</t>
  </si>
  <si>
    <t>Cleveland-Elyria, OH</t>
  </si>
  <si>
    <t>17540</t>
  </si>
  <si>
    <t>Clinton, IA</t>
  </si>
  <si>
    <t>17580</t>
  </si>
  <si>
    <t>Clovis, NM</t>
  </si>
  <si>
    <t>17660</t>
  </si>
  <si>
    <t>Coeur d'Alene, ID</t>
  </si>
  <si>
    <t>17700</t>
  </si>
  <si>
    <t>Coffeyville, KS</t>
  </si>
  <si>
    <t>17740</t>
  </si>
  <si>
    <t>Coldwater, MI</t>
  </si>
  <si>
    <t>17780</t>
  </si>
  <si>
    <t>College Station-Bryan, TX</t>
  </si>
  <si>
    <t>17820</t>
  </si>
  <si>
    <t>Colorado Springs, CO</t>
  </si>
  <si>
    <t>17860</t>
  </si>
  <si>
    <t>Columbia, MO</t>
  </si>
  <si>
    <t>17900</t>
  </si>
  <si>
    <t>Columbia, SC</t>
  </si>
  <si>
    <t>17980</t>
  </si>
  <si>
    <t>Columbus, GA-AL</t>
  </si>
  <si>
    <t>18020</t>
  </si>
  <si>
    <t>Columbus, IN</t>
  </si>
  <si>
    <t>18060</t>
  </si>
  <si>
    <t>Columbus, MS</t>
  </si>
  <si>
    <t>18100</t>
  </si>
  <si>
    <t>Columbus, NE</t>
  </si>
  <si>
    <t>18140</t>
  </si>
  <si>
    <t>Columbus, OH</t>
  </si>
  <si>
    <t>18180</t>
  </si>
  <si>
    <t>Concord, NH</t>
  </si>
  <si>
    <t>18260</t>
  </si>
  <si>
    <t>Cookeville, TN</t>
  </si>
  <si>
    <t>18300</t>
  </si>
  <si>
    <t>Coos Bay, OR</t>
  </si>
  <si>
    <t>18380</t>
  </si>
  <si>
    <t>Cordele, GA</t>
  </si>
  <si>
    <t>18420</t>
  </si>
  <si>
    <t>Corinth, MS</t>
  </si>
  <si>
    <t>18460</t>
  </si>
  <si>
    <t>Cornelia, GA</t>
  </si>
  <si>
    <t>18500</t>
  </si>
  <si>
    <t>Corning, NY</t>
  </si>
  <si>
    <t>18580</t>
  </si>
  <si>
    <t>Corpus Christi, TX</t>
  </si>
  <si>
    <t>18620</t>
  </si>
  <si>
    <t>Corsicana, TX</t>
  </si>
  <si>
    <t>18660</t>
  </si>
  <si>
    <t>Cortland, NY</t>
  </si>
  <si>
    <t>18700</t>
  </si>
  <si>
    <t>Corvallis, OR</t>
  </si>
  <si>
    <t>18740</t>
  </si>
  <si>
    <t>Coshocton, OH</t>
  </si>
  <si>
    <t>18780</t>
  </si>
  <si>
    <t>Craig, CO</t>
  </si>
  <si>
    <t>18820</t>
  </si>
  <si>
    <t>Crawfordsville, IN</t>
  </si>
  <si>
    <t>18860</t>
  </si>
  <si>
    <t>Crescent City, CA</t>
  </si>
  <si>
    <t>18880</t>
  </si>
  <si>
    <t>Crestview-Fort Walton Beach-Destin, FL</t>
  </si>
  <si>
    <t>18900</t>
  </si>
  <si>
    <t>Crossville, TN</t>
  </si>
  <si>
    <t>18980</t>
  </si>
  <si>
    <t>Cullman, AL</t>
  </si>
  <si>
    <t>19000</t>
  </si>
  <si>
    <t>Cullowhee, NC</t>
  </si>
  <si>
    <t>19060</t>
  </si>
  <si>
    <t>Cumberland, MD-WV</t>
  </si>
  <si>
    <t>19100</t>
  </si>
  <si>
    <t>Dallas-Fort Worth-Arlington, TX</t>
  </si>
  <si>
    <t>19140</t>
  </si>
  <si>
    <t>Dalton, GA</t>
  </si>
  <si>
    <t>19180</t>
  </si>
  <si>
    <t>Danville, IL</t>
  </si>
  <si>
    <t>19220</t>
  </si>
  <si>
    <t>Danville, KY</t>
  </si>
  <si>
    <t>19260</t>
  </si>
  <si>
    <t>Danville, VA</t>
  </si>
  <si>
    <t>19300</t>
  </si>
  <si>
    <t>Daphne-Fairhope-Foley, AL</t>
  </si>
  <si>
    <t>19340</t>
  </si>
  <si>
    <t>Davenport-Moline-Rock Island, IA-IL</t>
  </si>
  <si>
    <t>19380</t>
  </si>
  <si>
    <t>Dayton, OH</t>
  </si>
  <si>
    <t>19420</t>
  </si>
  <si>
    <t>Dayton, TN</t>
  </si>
  <si>
    <t>19460</t>
  </si>
  <si>
    <t>Decatur, AL</t>
  </si>
  <si>
    <t>19500</t>
  </si>
  <si>
    <t>Decatur, IL</t>
  </si>
  <si>
    <t>19540</t>
  </si>
  <si>
    <t>Decatur, IN</t>
  </si>
  <si>
    <t>19580</t>
  </si>
  <si>
    <t>Defiance, OH</t>
  </si>
  <si>
    <t>19620</t>
  </si>
  <si>
    <t>Del Rio, TX</t>
  </si>
  <si>
    <t>19660</t>
  </si>
  <si>
    <t>Deltona-Daytona Beach-Ormond Beach, FL</t>
  </si>
  <si>
    <t>19700</t>
  </si>
  <si>
    <t>Deming, NM</t>
  </si>
  <si>
    <t>19740</t>
  </si>
  <si>
    <t>Denver-Aurora-Lakewood, CO</t>
  </si>
  <si>
    <t>19760</t>
  </si>
  <si>
    <t>DeRidder, LA</t>
  </si>
  <si>
    <t>19780</t>
  </si>
  <si>
    <t>Des Moines-West Des Moines, IA</t>
  </si>
  <si>
    <t>19820</t>
  </si>
  <si>
    <t>Detroit-Warren-Dearborn, MI</t>
  </si>
  <si>
    <t>19860</t>
  </si>
  <si>
    <t>Dickinson, ND</t>
  </si>
  <si>
    <t>19940</t>
  </si>
  <si>
    <t>Dixon, IL</t>
  </si>
  <si>
    <t>19980</t>
  </si>
  <si>
    <t>Dodge City, KS</t>
  </si>
  <si>
    <t>20020</t>
  </si>
  <si>
    <t>Dothan, AL</t>
  </si>
  <si>
    <t>20060</t>
  </si>
  <si>
    <t>Douglas, GA</t>
  </si>
  <si>
    <t>20100</t>
  </si>
  <si>
    <t>Dover, DE</t>
  </si>
  <si>
    <t>20140</t>
  </si>
  <si>
    <t>Dublin, GA</t>
  </si>
  <si>
    <t>20180</t>
  </si>
  <si>
    <t>DuBois, PA</t>
  </si>
  <si>
    <t>20220</t>
  </si>
  <si>
    <t>Dubuque, IA</t>
  </si>
  <si>
    <t>20260</t>
  </si>
  <si>
    <t>Duluth, MN-WI</t>
  </si>
  <si>
    <t>20300</t>
  </si>
  <si>
    <t>Dumas, TX</t>
  </si>
  <si>
    <t>20340</t>
  </si>
  <si>
    <t>Duncan, OK</t>
  </si>
  <si>
    <t>20380</t>
  </si>
  <si>
    <t>Dunn, NC</t>
  </si>
  <si>
    <t>20420</t>
  </si>
  <si>
    <t>Durango, CO</t>
  </si>
  <si>
    <t>20460</t>
  </si>
  <si>
    <t>Durant, OK</t>
  </si>
  <si>
    <t>20500</t>
  </si>
  <si>
    <t>Durham-Chapel Hill, NC</t>
  </si>
  <si>
    <t>20540</t>
  </si>
  <si>
    <t>Dyersburg, TN</t>
  </si>
  <si>
    <t>20580</t>
  </si>
  <si>
    <t>Eagle Pass, TX</t>
  </si>
  <si>
    <t>20660</t>
  </si>
  <si>
    <t>Easton, MD</t>
  </si>
  <si>
    <t>20700</t>
  </si>
  <si>
    <t>East Stroudsburg, PA</t>
  </si>
  <si>
    <t>20740</t>
  </si>
  <si>
    <t>Eau Claire, WI</t>
  </si>
  <si>
    <t>20780</t>
  </si>
  <si>
    <t>Edwards, CO</t>
  </si>
  <si>
    <t>20820</t>
  </si>
  <si>
    <t>Effingham, IL</t>
  </si>
  <si>
    <t>20900</t>
  </si>
  <si>
    <t>El Campo, TX</t>
  </si>
  <si>
    <t>20940</t>
  </si>
  <si>
    <t>El Centro, CA</t>
  </si>
  <si>
    <t>20980</t>
  </si>
  <si>
    <t>El Dorado, AR</t>
  </si>
  <si>
    <t>21020</t>
  </si>
  <si>
    <t>Elizabeth City, NC</t>
  </si>
  <si>
    <t>21060</t>
  </si>
  <si>
    <t>Elizabethtown-Fort Knox, KY</t>
  </si>
  <si>
    <t>21120</t>
  </si>
  <si>
    <t>Elk City, OK</t>
  </si>
  <si>
    <t>21140</t>
  </si>
  <si>
    <t>Elkhart-Goshen, IN</t>
  </si>
  <si>
    <t>21180</t>
  </si>
  <si>
    <t>Elkins, WV</t>
  </si>
  <si>
    <t>21220</t>
  </si>
  <si>
    <t>Elko, NV</t>
  </si>
  <si>
    <t>21260</t>
  </si>
  <si>
    <t>Ellensburg, WA</t>
  </si>
  <si>
    <t>21300</t>
  </si>
  <si>
    <t>Elmira, NY</t>
  </si>
  <si>
    <t>21340</t>
  </si>
  <si>
    <t>El Paso, TX</t>
  </si>
  <si>
    <t>21380</t>
  </si>
  <si>
    <t>Emporia, KS</t>
  </si>
  <si>
    <t>21420</t>
  </si>
  <si>
    <t>Enid, OK</t>
  </si>
  <si>
    <t>21460</t>
  </si>
  <si>
    <t>Enterprise, AL</t>
  </si>
  <si>
    <t>21500</t>
  </si>
  <si>
    <t>Erie, PA</t>
  </si>
  <si>
    <t>21540</t>
  </si>
  <si>
    <t>Escanaba, MI</t>
  </si>
  <si>
    <t>21580</t>
  </si>
  <si>
    <t>EspaÃ±ola, NM</t>
  </si>
  <si>
    <t>21660</t>
  </si>
  <si>
    <t>Eugene, OR</t>
  </si>
  <si>
    <t>21700</t>
  </si>
  <si>
    <t>Eureka-Arcata-Fortuna, CA</t>
  </si>
  <si>
    <t>21740</t>
  </si>
  <si>
    <t>Evanston, WY</t>
  </si>
  <si>
    <t>21780</t>
  </si>
  <si>
    <t>Evansville, IN-KY</t>
  </si>
  <si>
    <t>21820</t>
  </si>
  <si>
    <t>Fairbanks, AK</t>
  </si>
  <si>
    <t>21840</t>
  </si>
  <si>
    <t>Fairfield, IA</t>
  </si>
  <si>
    <t>21900</t>
  </si>
  <si>
    <t>Fairmont, WV</t>
  </si>
  <si>
    <t>22020</t>
  </si>
  <si>
    <t>Fargo, ND-MN</t>
  </si>
  <si>
    <t>22060</t>
  </si>
  <si>
    <t>Faribault-Northfield, MN</t>
  </si>
  <si>
    <t>22100</t>
  </si>
  <si>
    <t>Farmington, MO</t>
  </si>
  <si>
    <t>22140</t>
  </si>
  <si>
    <t>Farmington, NM</t>
  </si>
  <si>
    <t>22180</t>
  </si>
  <si>
    <t>Fayetteville, NC</t>
  </si>
  <si>
    <t>22220</t>
  </si>
  <si>
    <t>Fayetteville-Springdale-Rogers, AR-MO</t>
  </si>
  <si>
    <t>22260</t>
  </si>
  <si>
    <t>Fergus Falls, MN</t>
  </si>
  <si>
    <t>22280</t>
  </si>
  <si>
    <t>Fernley, NV</t>
  </si>
  <si>
    <t>22300</t>
  </si>
  <si>
    <t>Findlay, OH</t>
  </si>
  <si>
    <t>22340</t>
  </si>
  <si>
    <t>Fitzgerald, GA</t>
  </si>
  <si>
    <t>22380</t>
  </si>
  <si>
    <t>Flagstaff, AZ</t>
  </si>
  <si>
    <t>22420</t>
  </si>
  <si>
    <t>Flint, MI</t>
  </si>
  <si>
    <t>22500</t>
  </si>
  <si>
    <t>Florence, SC</t>
  </si>
  <si>
    <t>22520</t>
  </si>
  <si>
    <t>Florence-Muscle Shoals, AL</t>
  </si>
  <si>
    <t>22540</t>
  </si>
  <si>
    <t>Fond du Lac, WI</t>
  </si>
  <si>
    <t>22580</t>
  </si>
  <si>
    <t>Forest City, NC</t>
  </si>
  <si>
    <t>22660</t>
  </si>
  <si>
    <t>Fort Collins, CO</t>
  </si>
  <si>
    <t>22700</t>
  </si>
  <si>
    <t>Fort Dodge, IA</t>
  </si>
  <si>
    <t>22780</t>
  </si>
  <si>
    <t>Fort Leonard Wood, MO</t>
  </si>
  <si>
    <t>22800</t>
  </si>
  <si>
    <t>Fort Madison-Keokuk, IA-IL-MO</t>
  </si>
  <si>
    <t>22820</t>
  </si>
  <si>
    <t>Fort Morgan, CO</t>
  </si>
  <si>
    <t>22860</t>
  </si>
  <si>
    <t>Fort Polk South, LA</t>
  </si>
  <si>
    <t>22900</t>
  </si>
  <si>
    <t>Fort Smith, AR-OK</t>
  </si>
  <si>
    <t>23060</t>
  </si>
  <si>
    <t>Fort Wayne, IN</t>
  </si>
  <si>
    <t>23180</t>
  </si>
  <si>
    <t>Frankfort, KY</t>
  </si>
  <si>
    <t>23240</t>
  </si>
  <si>
    <t>Fredericksburg, TX</t>
  </si>
  <si>
    <t>23300</t>
  </si>
  <si>
    <t>Freeport, IL</t>
  </si>
  <si>
    <t>23340</t>
  </si>
  <si>
    <t>Fremont, NE</t>
  </si>
  <si>
    <t>23380</t>
  </si>
  <si>
    <t>Fremont, OH</t>
  </si>
  <si>
    <t>23420</t>
  </si>
  <si>
    <t>Fresno, CA</t>
  </si>
  <si>
    <t>23460</t>
  </si>
  <si>
    <t>Gadsden, AL</t>
  </si>
  <si>
    <t>23500</t>
  </si>
  <si>
    <t>Gaffney, SC</t>
  </si>
  <si>
    <t>23540</t>
  </si>
  <si>
    <t>Gainesville, FL</t>
  </si>
  <si>
    <t>23580</t>
  </si>
  <si>
    <t>Gainesville, GA</t>
  </si>
  <si>
    <t>23620</t>
  </si>
  <si>
    <t>Gainesville, TX</t>
  </si>
  <si>
    <t>23660</t>
  </si>
  <si>
    <t>Galesburg, IL</t>
  </si>
  <si>
    <t>23700</t>
  </si>
  <si>
    <t>Gallup, NM</t>
  </si>
  <si>
    <t>23780</t>
  </si>
  <si>
    <t>Garden City, KS</t>
  </si>
  <si>
    <t>23820</t>
  </si>
  <si>
    <t>Gardnerville Ranchos, NV</t>
  </si>
  <si>
    <t>23860</t>
  </si>
  <si>
    <t>Georgetown, SC</t>
  </si>
  <si>
    <t>23900</t>
  </si>
  <si>
    <t>Gettysburg, PA</t>
  </si>
  <si>
    <t>23940</t>
  </si>
  <si>
    <t>Gillette, WY</t>
  </si>
  <si>
    <t>23980</t>
  </si>
  <si>
    <t>Glasgow, KY</t>
  </si>
  <si>
    <t>24020</t>
  </si>
  <si>
    <t>Glens Falls, NY</t>
  </si>
  <si>
    <t>24060</t>
  </si>
  <si>
    <t>Glenwood Springs, CO</t>
  </si>
  <si>
    <t>24100</t>
  </si>
  <si>
    <t>Gloversville, NY</t>
  </si>
  <si>
    <t>24140</t>
  </si>
  <si>
    <t>Goldsboro, NC</t>
  </si>
  <si>
    <t>24220</t>
  </si>
  <si>
    <t>Grand Forks, ND-MN</t>
  </si>
  <si>
    <t>24260</t>
  </si>
  <si>
    <t>Grand Island, NE</t>
  </si>
  <si>
    <t>24300</t>
  </si>
  <si>
    <t>Grand Junction, CO</t>
  </si>
  <si>
    <t>24340</t>
  </si>
  <si>
    <t>Grand Rapids-Wyoming, MI</t>
  </si>
  <si>
    <t>24420</t>
  </si>
  <si>
    <t>Grants Pass, OR</t>
  </si>
  <si>
    <t>24460</t>
  </si>
  <si>
    <t>Great Bend, KS</t>
  </si>
  <si>
    <t>24500</t>
  </si>
  <si>
    <t>Great Falls, MT</t>
  </si>
  <si>
    <t>24540</t>
  </si>
  <si>
    <t>Greeley, CO</t>
  </si>
  <si>
    <t>24580</t>
  </si>
  <si>
    <t>Green Bay, WI</t>
  </si>
  <si>
    <t>24620</t>
  </si>
  <si>
    <t>Greeneville, TN</t>
  </si>
  <si>
    <t>24640</t>
  </si>
  <si>
    <t>Greenfield Town, MA</t>
  </si>
  <si>
    <t>24660</t>
  </si>
  <si>
    <t>Greensboro-High Point, NC</t>
  </si>
  <si>
    <t>24700</t>
  </si>
  <si>
    <t>Greensburg, IN</t>
  </si>
  <si>
    <t>24740</t>
  </si>
  <si>
    <t>Greenville, MS</t>
  </si>
  <si>
    <t>24780</t>
  </si>
  <si>
    <t>Greenville, NC</t>
  </si>
  <si>
    <t>24820</t>
  </si>
  <si>
    <t>Greenville, OH</t>
  </si>
  <si>
    <t>24860</t>
  </si>
  <si>
    <t>Greenville-Anderson-Mauldin, SC</t>
  </si>
  <si>
    <t>24900</t>
  </si>
  <si>
    <t>Greenwood, MS</t>
  </si>
  <si>
    <t>24940</t>
  </si>
  <si>
    <t>Greenwood, SC</t>
  </si>
  <si>
    <t>24980</t>
  </si>
  <si>
    <t>Grenada, MS</t>
  </si>
  <si>
    <t>25060</t>
  </si>
  <si>
    <t>Gulfport-Biloxi-Pascagoula, MS</t>
  </si>
  <si>
    <t>25100</t>
  </si>
  <si>
    <t>Guymon, OK</t>
  </si>
  <si>
    <t>25180</t>
  </si>
  <si>
    <t>Hagerstown-Martinsburg, MD-WV</t>
  </si>
  <si>
    <t>25200</t>
  </si>
  <si>
    <t>Hailey, ID</t>
  </si>
  <si>
    <t>25220</t>
  </si>
  <si>
    <t>Hammond, LA</t>
  </si>
  <si>
    <t>25260</t>
  </si>
  <si>
    <t>Hanford-Corcoran, CA</t>
  </si>
  <si>
    <t>25300</t>
  </si>
  <si>
    <t>Hannibal, MO</t>
  </si>
  <si>
    <t>25420</t>
  </si>
  <si>
    <t>Harrisburg-Carlisle, PA</t>
  </si>
  <si>
    <t>25460</t>
  </si>
  <si>
    <t>Harrison, AR</t>
  </si>
  <si>
    <t>25500</t>
  </si>
  <si>
    <t>Harrisonburg, VA</t>
  </si>
  <si>
    <t>25540</t>
  </si>
  <si>
    <t>Hartford-West Hartford-East Hartford, CT</t>
  </si>
  <si>
    <t>25580</t>
  </si>
  <si>
    <t>Hastings, NE</t>
  </si>
  <si>
    <t>25620</t>
  </si>
  <si>
    <t>Hattiesburg, MS</t>
  </si>
  <si>
    <t>25700</t>
  </si>
  <si>
    <t>Hays, KS</t>
  </si>
  <si>
    <t>25720</t>
  </si>
  <si>
    <t>Heber, UT</t>
  </si>
  <si>
    <t>25740</t>
  </si>
  <si>
    <t>Helena, MT</t>
  </si>
  <si>
    <t>25760</t>
  </si>
  <si>
    <t>Helena-West Helena, AR</t>
  </si>
  <si>
    <t>25780</t>
  </si>
  <si>
    <t>Henderson, NC</t>
  </si>
  <si>
    <t>25820</t>
  </si>
  <si>
    <t>Hereford, TX</t>
  </si>
  <si>
    <t>25840</t>
  </si>
  <si>
    <t>Hermiston-Pendleton, OR</t>
  </si>
  <si>
    <t>25860</t>
  </si>
  <si>
    <t>Hickory-Lenoir-Morganton, NC</t>
  </si>
  <si>
    <t>25880</t>
  </si>
  <si>
    <t>Hillsdale, MI</t>
  </si>
  <si>
    <t>25900</t>
  </si>
  <si>
    <t>Hilo, HI</t>
  </si>
  <si>
    <t>25940</t>
  </si>
  <si>
    <t>Hilton Head Island-Bluffton-Beaufort, SC</t>
  </si>
  <si>
    <t>25980</t>
  </si>
  <si>
    <t>Hinesville, GA</t>
  </si>
  <si>
    <t>26020</t>
  </si>
  <si>
    <t>Hobbs, NM</t>
  </si>
  <si>
    <t>26090</t>
  </si>
  <si>
    <t>Holland, MI</t>
  </si>
  <si>
    <t>26140</t>
  </si>
  <si>
    <t>Homosassa Springs, FL</t>
  </si>
  <si>
    <t>26300</t>
  </si>
  <si>
    <t>Hot Springs, AR</t>
  </si>
  <si>
    <t>26340</t>
  </si>
  <si>
    <t>Houghton, MI</t>
  </si>
  <si>
    <t>26380</t>
  </si>
  <si>
    <t>Houma-Thibodaux, LA</t>
  </si>
  <si>
    <t>26420</t>
  </si>
  <si>
    <t>Houston-The Woodlands-Sugar Land, TX</t>
  </si>
  <si>
    <t>26460</t>
  </si>
  <si>
    <t>Hudson, NY</t>
  </si>
  <si>
    <t>26500</t>
  </si>
  <si>
    <t>Huntingdon, PA</t>
  </si>
  <si>
    <t>26540</t>
  </si>
  <si>
    <t>Huntington, IN</t>
  </si>
  <si>
    <t>26580</t>
  </si>
  <si>
    <t>Huntington-Ashland, WV-KY-OH</t>
  </si>
  <si>
    <t>26620</t>
  </si>
  <si>
    <t>Huntsville, AL</t>
  </si>
  <si>
    <t>26660</t>
  </si>
  <si>
    <t>Huntsville, TX</t>
  </si>
  <si>
    <t>26700</t>
  </si>
  <si>
    <t>Huron, SD</t>
  </si>
  <si>
    <t>26740</t>
  </si>
  <si>
    <t>Hutchinson, KS</t>
  </si>
  <si>
    <t>26780</t>
  </si>
  <si>
    <t>Hutchinson, MN</t>
  </si>
  <si>
    <t>26820</t>
  </si>
  <si>
    <t>Idaho Falls, ID</t>
  </si>
  <si>
    <t>26860</t>
  </si>
  <si>
    <t>Indiana, PA</t>
  </si>
  <si>
    <t>26900</t>
  </si>
  <si>
    <t>Indianapolis-Carmel-Anderson, IN</t>
  </si>
  <si>
    <t>26940</t>
  </si>
  <si>
    <t>Indianola, MS</t>
  </si>
  <si>
    <t>26960</t>
  </si>
  <si>
    <t>Ionia, MI</t>
  </si>
  <si>
    <t>26980</t>
  </si>
  <si>
    <t>Iowa City, IA</t>
  </si>
  <si>
    <t>27020</t>
  </si>
  <si>
    <t>Iron Mountain, MI-WI</t>
  </si>
  <si>
    <t>27060</t>
  </si>
  <si>
    <t>Ithaca, NY</t>
  </si>
  <si>
    <t>27100</t>
  </si>
  <si>
    <t>Jackson, MI</t>
  </si>
  <si>
    <t>27140</t>
  </si>
  <si>
    <t>Jackson, MS</t>
  </si>
  <si>
    <t>27160</t>
  </si>
  <si>
    <t>Jackson, OH</t>
  </si>
  <si>
    <t>27180</t>
  </si>
  <si>
    <t>Jackson, TN</t>
  </si>
  <si>
    <t>27220</t>
  </si>
  <si>
    <t>Jackson, WY-ID</t>
  </si>
  <si>
    <t>27260</t>
  </si>
  <si>
    <t>Jacksonville, FL</t>
  </si>
  <si>
    <t>27300</t>
  </si>
  <si>
    <t>Jacksonville, IL</t>
  </si>
  <si>
    <t>27340</t>
  </si>
  <si>
    <t>Jacksonville, NC</t>
  </si>
  <si>
    <t>27380</t>
  </si>
  <si>
    <t>Jacksonville, TX</t>
  </si>
  <si>
    <t>27420</t>
  </si>
  <si>
    <t>Jamestown, ND</t>
  </si>
  <si>
    <t>27460</t>
  </si>
  <si>
    <t>Jamestown-Dunkirk-Fredonia, NY</t>
  </si>
  <si>
    <t>27500</t>
  </si>
  <si>
    <t>Janesville-Beloit, WI</t>
  </si>
  <si>
    <t>27540</t>
  </si>
  <si>
    <t>Jasper, IN</t>
  </si>
  <si>
    <t>27600</t>
  </si>
  <si>
    <t>Jefferson, GA</t>
  </si>
  <si>
    <t>27620</t>
  </si>
  <si>
    <t>Jefferson City, MO</t>
  </si>
  <si>
    <t>27700</t>
  </si>
  <si>
    <t>Jesup, GA</t>
  </si>
  <si>
    <t>27740</t>
  </si>
  <si>
    <t>Johnson City, TN</t>
  </si>
  <si>
    <t>27780</t>
  </si>
  <si>
    <t>Johnstown, PA</t>
  </si>
  <si>
    <t>27860</t>
  </si>
  <si>
    <t>Jonesboro, AR</t>
  </si>
  <si>
    <t>27900</t>
  </si>
  <si>
    <t>Joplin, MO</t>
  </si>
  <si>
    <t>27920</t>
  </si>
  <si>
    <t>Junction City, KS</t>
  </si>
  <si>
    <t>27940</t>
  </si>
  <si>
    <t>Juneau, AK</t>
  </si>
  <si>
    <t>27980</t>
  </si>
  <si>
    <t>Kahului-Wailuku-Lahaina, HI</t>
  </si>
  <si>
    <t>28020</t>
  </si>
  <si>
    <t>Kalamazoo-Portage, MI</t>
  </si>
  <si>
    <t>28060</t>
  </si>
  <si>
    <t>Kalispell, MT</t>
  </si>
  <si>
    <t>28100</t>
  </si>
  <si>
    <t>Kankakee, IL</t>
  </si>
  <si>
    <t>28140</t>
  </si>
  <si>
    <t>Kansas City, MO-KS</t>
  </si>
  <si>
    <t>28180</t>
  </si>
  <si>
    <t>Kapaa, HI</t>
  </si>
  <si>
    <t>28260</t>
  </si>
  <si>
    <t>Kearney, NE</t>
  </si>
  <si>
    <t>28300</t>
  </si>
  <si>
    <t>Keene, NH</t>
  </si>
  <si>
    <t>28340</t>
  </si>
  <si>
    <t>Kendallville, IN</t>
  </si>
  <si>
    <t>28380</t>
  </si>
  <si>
    <t>Kennett, MO</t>
  </si>
  <si>
    <t>28420</t>
  </si>
  <si>
    <t>Kennewick-Richland, WA</t>
  </si>
  <si>
    <t>28500</t>
  </si>
  <si>
    <t>Kerrville, TX</t>
  </si>
  <si>
    <t>28540</t>
  </si>
  <si>
    <t>Ketchikan, AK</t>
  </si>
  <si>
    <t>28580</t>
  </si>
  <si>
    <t>Key West, FL</t>
  </si>
  <si>
    <t>28620</t>
  </si>
  <si>
    <t>Kill Devil Hills, NC</t>
  </si>
  <si>
    <t>28660</t>
  </si>
  <si>
    <t>Killeen-Temple, TX</t>
  </si>
  <si>
    <t>28700</t>
  </si>
  <si>
    <t>Kingsport-Bristol-Bristol, TN-VA</t>
  </si>
  <si>
    <t>28740</t>
  </si>
  <si>
    <t>Kingston, NY</t>
  </si>
  <si>
    <t>28780</t>
  </si>
  <si>
    <t>Kingsville, TX</t>
  </si>
  <si>
    <t>28820</t>
  </si>
  <si>
    <t>Kinston, NC</t>
  </si>
  <si>
    <t>28860</t>
  </si>
  <si>
    <t>Kirksville, MO</t>
  </si>
  <si>
    <t>28900</t>
  </si>
  <si>
    <t>Klamath Falls, OR</t>
  </si>
  <si>
    <t>28940</t>
  </si>
  <si>
    <t>Knoxville, TN</t>
  </si>
  <si>
    <t>29020</t>
  </si>
  <si>
    <t>Kokomo, IN</t>
  </si>
  <si>
    <t>29060</t>
  </si>
  <si>
    <t>Laconia, NH</t>
  </si>
  <si>
    <t>29100</t>
  </si>
  <si>
    <t>La Crosse-Onalaska, WI-MN</t>
  </si>
  <si>
    <t>29180</t>
  </si>
  <si>
    <t>Lafayette, LA</t>
  </si>
  <si>
    <t>29200</t>
  </si>
  <si>
    <t>Lafayette-West Lafayette, IN</t>
  </si>
  <si>
    <t>29260</t>
  </si>
  <si>
    <t>La Grande, OR</t>
  </si>
  <si>
    <t>29300</t>
  </si>
  <si>
    <t>LaGrange, GA</t>
  </si>
  <si>
    <t>29340</t>
  </si>
  <si>
    <t>Lake Charles, LA</t>
  </si>
  <si>
    <t>29380</t>
  </si>
  <si>
    <t>Lake City, FL</t>
  </si>
  <si>
    <t>29420</t>
  </si>
  <si>
    <t>Lake Havasu City-Kingman, AZ</t>
  </si>
  <si>
    <t>29460</t>
  </si>
  <si>
    <t>Lakeland-Winter Haven, FL</t>
  </si>
  <si>
    <t>29500</t>
  </si>
  <si>
    <t>Lamesa, TX</t>
  </si>
  <si>
    <t>29540</t>
  </si>
  <si>
    <t>Lancaster, PA</t>
  </si>
  <si>
    <t>29620</t>
  </si>
  <si>
    <t>Lansing-East Lansing, MI</t>
  </si>
  <si>
    <t>29660</t>
  </si>
  <si>
    <t>Laramie, WY</t>
  </si>
  <si>
    <t>29700</t>
  </si>
  <si>
    <t>Laredo, TX</t>
  </si>
  <si>
    <t>29740</t>
  </si>
  <si>
    <t>Las Cruces, NM</t>
  </si>
  <si>
    <t>29820</t>
  </si>
  <si>
    <t>Las Vegas-Henderson-Paradise, NV</t>
  </si>
  <si>
    <t>29860</t>
  </si>
  <si>
    <t>Laurel, MS</t>
  </si>
  <si>
    <t>29900</t>
  </si>
  <si>
    <t>Laurinburg, NC</t>
  </si>
  <si>
    <t>29940</t>
  </si>
  <si>
    <t>Lawrence, KS</t>
  </si>
  <si>
    <t>30020</t>
  </si>
  <si>
    <t>Lawton, OK</t>
  </si>
  <si>
    <t>30060</t>
  </si>
  <si>
    <t>Lebanon, MO</t>
  </si>
  <si>
    <t>30140</t>
  </si>
  <si>
    <t>Lebanon, PA</t>
  </si>
  <si>
    <t>30220</t>
  </si>
  <si>
    <t>Levelland, TX</t>
  </si>
  <si>
    <t>30260</t>
  </si>
  <si>
    <t>Lewisburg, PA</t>
  </si>
  <si>
    <t>30280</t>
  </si>
  <si>
    <t>Lewisburg, TN</t>
  </si>
  <si>
    <t>30300</t>
  </si>
  <si>
    <t>Lewiston, ID-WA</t>
  </si>
  <si>
    <t>30340</t>
  </si>
  <si>
    <t>Lewiston-Auburn, ME</t>
  </si>
  <si>
    <t>30380</t>
  </si>
  <si>
    <t>Lewistown, PA</t>
  </si>
  <si>
    <t>30420</t>
  </si>
  <si>
    <t>Lexington, NE</t>
  </si>
  <si>
    <t>30460</t>
  </si>
  <si>
    <t>Lexington-Fayette, KY</t>
  </si>
  <si>
    <t>30620</t>
  </si>
  <si>
    <t>Lima, OH</t>
  </si>
  <si>
    <t>30660</t>
  </si>
  <si>
    <t>Lincoln, IL</t>
  </si>
  <si>
    <t>30700</t>
  </si>
  <si>
    <t>Lincoln, NE</t>
  </si>
  <si>
    <t>30780</t>
  </si>
  <si>
    <t>Little Rock-North Little Rock-Conway, AR</t>
  </si>
  <si>
    <t>30820</t>
  </si>
  <si>
    <t>Lock Haven, PA</t>
  </si>
  <si>
    <t>30860</t>
  </si>
  <si>
    <t>Logan, UT-ID</t>
  </si>
  <si>
    <t>30880</t>
  </si>
  <si>
    <t>Logan, WV</t>
  </si>
  <si>
    <t>30940</t>
  </si>
  <si>
    <t>London, KY</t>
  </si>
  <si>
    <t>30980</t>
  </si>
  <si>
    <t>Longview, TX</t>
  </si>
  <si>
    <t>31020</t>
  </si>
  <si>
    <t>Longview, WA</t>
  </si>
  <si>
    <t>31060</t>
  </si>
  <si>
    <t>Los Alamos, NM</t>
  </si>
  <si>
    <t>31080</t>
  </si>
  <si>
    <t>Los Angeles-Long Beach-Anaheim, CA</t>
  </si>
  <si>
    <t>31140</t>
  </si>
  <si>
    <t>Louisville/Jefferson County, KY-IN</t>
  </si>
  <si>
    <t>31180</t>
  </si>
  <si>
    <t>Lubbock, TX</t>
  </si>
  <si>
    <t>31220</t>
  </si>
  <si>
    <t>Ludington, MI</t>
  </si>
  <si>
    <t>31260</t>
  </si>
  <si>
    <t>Lufkin, TX</t>
  </si>
  <si>
    <t>31300</t>
  </si>
  <si>
    <t>Lumberton, NC</t>
  </si>
  <si>
    <t>31340</t>
  </si>
  <si>
    <t>Lynchburg, VA</t>
  </si>
  <si>
    <t>31380</t>
  </si>
  <si>
    <t>Macomb, IL</t>
  </si>
  <si>
    <t>31420</t>
  </si>
  <si>
    <t>Macon, GA</t>
  </si>
  <si>
    <t>31460</t>
  </si>
  <si>
    <t>Madera, CA</t>
  </si>
  <si>
    <t>31500</t>
  </si>
  <si>
    <t>Madison, IN</t>
  </si>
  <si>
    <t>31540</t>
  </si>
  <si>
    <t>Madison, WI</t>
  </si>
  <si>
    <t>31580</t>
  </si>
  <si>
    <t>Madisonville, KY</t>
  </si>
  <si>
    <t>31660</t>
  </si>
  <si>
    <t>Malone, NY</t>
  </si>
  <si>
    <t>31680</t>
  </si>
  <si>
    <t>Malvern, AR</t>
  </si>
  <si>
    <t>31700</t>
  </si>
  <si>
    <t>Manchester-Nashua, NH</t>
  </si>
  <si>
    <t>31740</t>
  </si>
  <si>
    <t>Manhattan, KS</t>
  </si>
  <si>
    <t>31820</t>
  </si>
  <si>
    <t>Manitowoc, WI</t>
  </si>
  <si>
    <t>31860</t>
  </si>
  <si>
    <t>Mankato-North Mankato, MN</t>
  </si>
  <si>
    <t>31900</t>
  </si>
  <si>
    <t>Mansfield, OH</t>
  </si>
  <si>
    <t>31930</t>
  </si>
  <si>
    <t>Marietta, OH</t>
  </si>
  <si>
    <t>31940</t>
  </si>
  <si>
    <t>Marinette, WI-MI</t>
  </si>
  <si>
    <t>31980</t>
  </si>
  <si>
    <t>Marion, IN</t>
  </si>
  <si>
    <t>32000</t>
  </si>
  <si>
    <t>Marion, NC</t>
  </si>
  <si>
    <t>32020</t>
  </si>
  <si>
    <t>Marion, OH</t>
  </si>
  <si>
    <t>32100</t>
  </si>
  <si>
    <t>Marquette, MI</t>
  </si>
  <si>
    <t>32140</t>
  </si>
  <si>
    <t>Marshall, MN</t>
  </si>
  <si>
    <t>32180</t>
  </si>
  <si>
    <t>Marshall, MO</t>
  </si>
  <si>
    <t>32220</t>
  </si>
  <si>
    <t>Marshall, TX</t>
  </si>
  <si>
    <t>32260</t>
  </si>
  <si>
    <t>Marshalltown, IA</t>
  </si>
  <si>
    <t>32280</t>
  </si>
  <si>
    <t>Martin, TN</t>
  </si>
  <si>
    <t>32300</t>
  </si>
  <si>
    <t>Martinsville, VA</t>
  </si>
  <si>
    <t>32340</t>
  </si>
  <si>
    <t>Maryville, MO</t>
  </si>
  <si>
    <t>32380</t>
  </si>
  <si>
    <t>Mason City, IA</t>
  </si>
  <si>
    <t>32460</t>
  </si>
  <si>
    <t>Mayfield, KY</t>
  </si>
  <si>
    <t>32500</t>
  </si>
  <si>
    <t>Maysville, KY</t>
  </si>
  <si>
    <t>32540</t>
  </si>
  <si>
    <t>McAlester, OK</t>
  </si>
  <si>
    <t>32580</t>
  </si>
  <si>
    <t>McAllen-Edinburg-Mission, TX</t>
  </si>
  <si>
    <t>32620</t>
  </si>
  <si>
    <t>McComb, MS</t>
  </si>
  <si>
    <t>32660</t>
  </si>
  <si>
    <t>McMinnville, TN</t>
  </si>
  <si>
    <t>32700</t>
  </si>
  <si>
    <t>McPherson, KS</t>
  </si>
  <si>
    <t>32740</t>
  </si>
  <si>
    <t>Meadville, PA</t>
  </si>
  <si>
    <t>32780</t>
  </si>
  <si>
    <t>Medford, OR</t>
  </si>
  <si>
    <t>32820</t>
  </si>
  <si>
    <t>Memphis, TN-MS-AR</t>
  </si>
  <si>
    <t>32860</t>
  </si>
  <si>
    <t>Menomonie, WI</t>
  </si>
  <si>
    <t>32900</t>
  </si>
  <si>
    <t>Merced, CA</t>
  </si>
  <si>
    <t>32940</t>
  </si>
  <si>
    <t>Meridian, MS</t>
  </si>
  <si>
    <t>32980</t>
  </si>
  <si>
    <t>Merrill, WI</t>
  </si>
  <si>
    <t>33020</t>
  </si>
  <si>
    <t>Mexico, MO</t>
  </si>
  <si>
    <t>33060</t>
  </si>
  <si>
    <t>Miami, OK</t>
  </si>
  <si>
    <t>33100</t>
  </si>
  <si>
    <t>Miami-Fort Lauderdale-West Palm Beach, FL</t>
  </si>
  <si>
    <t>33140</t>
  </si>
  <si>
    <t>Michigan City-La Porte, IN</t>
  </si>
  <si>
    <t>33180</t>
  </si>
  <si>
    <t>Middlesborough, KY</t>
  </si>
  <si>
    <t>33220</t>
  </si>
  <si>
    <t>Midland, MI</t>
  </si>
  <si>
    <t>33260</t>
  </si>
  <si>
    <t>Midland, TX</t>
  </si>
  <si>
    <t>33300</t>
  </si>
  <si>
    <t>Milledgeville, GA</t>
  </si>
  <si>
    <t>33340</t>
  </si>
  <si>
    <t>Milwaukee-Waukesha-West Allis, WI</t>
  </si>
  <si>
    <t>33420</t>
  </si>
  <si>
    <t>Mineral Wells, TX</t>
  </si>
  <si>
    <t>33460</t>
  </si>
  <si>
    <t>Minneapolis-St. Paul-Bloomington, MN-WI</t>
  </si>
  <si>
    <t>33500</t>
  </si>
  <si>
    <t>Minot, ND</t>
  </si>
  <si>
    <t>33540</t>
  </si>
  <si>
    <t>Missoula, MT</t>
  </si>
  <si>
    <t>33580</t>
  </si>
  <si>
    <t>Mitchell, SD</t>
  </si>
  <si>
    <t>33620</t>
  </si>
  <si>
    <t>Moberly, MO</t>
  </si>
  <si>
    <t>33660</t>
  </si>
  <si>
    <t>Mobile, AL</t>
  </si>
  <si>
    <t>33700</t>
  </si>
  <si>
    <t>Modesto, CA</t>
  </si>
  <si>
    <t>33740</t>
  </si>
  <si>
    <t>Monroe, LA</t>
  </si>
  <si>
    <t>33780</t>
  </si>
  <si>
    <t>Monroe, MI</t>
  </si>
  <si>
    <t>33860</t>
  </si>
  <si>
    <t>Montgomery, AL</t>
  </si>
  <si>
    <t>33940</t>
  </si>
  <si>
    <t>Montrose, CO</t>
  </si>
  <si>
    <t>33980</t>
  </si>
  <si>
    <t>Morehead City, NC</t>
  </si>
  <si>
    <t>34020</t>
  </si>
  <si>
    <t>Morgan City, LA</t>
  </si>
  <si>
    <t>34060</t>
  </si>
  <si>
    <t>Morgantown, WV</t>
  </si>
  <si>
    <t>34100</t>
  </si>
  <si>
    <t>Morristown, TN</t>
  </si>
  <si>
    <t>34140</t>
  </si>
  <si>
    <t>Moscow, ID</t>
  </si>
  <si>
    <t>34180</t>
  </si>
  <si>
    <t>Moses Lake, WA</t>
  </si>
  <si>
    <t>34220</t>
  </si>
  <si>
    <t>Moultrie, GA</t>
  </si>
  <si>
    <t>34260</t>
  </si>
  <si>
    <t>Mountain Home, AR</t>
  </si>
  <si>
    <t>34300</t>
  </si>
  <si>
    <t>Mountain Home, ID</t>
  </si>
  <si>
    <t>34340</t>
  </si>
  <si>
    <t>Mount Airy, NC</t>
  </si>
  <si>
    <t>34380</t>
  </si>
  <si>
    <t>Mount Pleasant, MI</t>
  </si>
  <si>
    <t>34420</t>
  </si>
  <si>
    <t>Mount Pleasant, TX</t>
  </si>
  <si>
    <t>34460</t>
  </si>
  <si>
    <t>Mount Sterling, KY</t>
  </si>
  <si>
    <t>34540</t>
  </si>
  <si>
    <t>Mount Vernon, OH</t>
  </si>
  <si>
    <t>34580</t>
  </si>
  <si>
    <t>Mount Vernon-Anacortes, WA</t>
  </si>
  <si>
    <t>34620</t>
  </si>
  <si>
    <t>Muncie, IN</t>
  </si>
  <si>
    <t>34660</t>
  </si>
  <si>
    <t>Murray, KY</t>
  </si>
  <si>
    <t>34700</t>
  </si>
  <si>
    <t>Muscatine, IA</t>
  </si>
  <si>
    <t>34740</t>
  </si>
  <si>
    <t>Muskegon, MI</t>
  </si>
  <si>
    <t>34780</t>
  </si>
  <si>
    <t>Muskogee, OK</t>
  </si>
  <si>
    <t>34820</t>
  </si>
  <si>
    <t>Myrtle Beach-Conway-North Myrtle Beach, SC-NC</t>
  </si>
  <si>
    <t>34860</t>
  </si>
  <si>
    <t>Nacogdoches, TX</t>
  </si>
  <si>
    <t>34900</t>
  </si>
  <si>
    <t>Napa, CA</t>
  </si>
  <si>
    <t>34940</t>
  </si>
  <si>
    <t>Naples-Immokalee-Marco Island, FL</t>
  </si>
  <si>
    <t>34980</t>
  </si>
  <si>
    <t>Nashville-Davidson--Murfreesboro--Franklin, TN</t>
  </si>
  <si>
    <t>35020</t>
  </si>
  <si>
    <t>Natchez, MS-LA</t>
  </si>
  <si>
    <t>35060</t>
  </si>
  <si>
    <t>Natchitoches, LA</t>
  </si>
  <si>
    <t>35100</t>
  </si>
  <si>
    <t>New Bern, NC</t>
  </si>
  <si>
    <t>35140</t>
  </si>
  <si>
    <t>Newberry, SC</t>
  </si>
  <si>
    <t>35220</t>
  </si>
  <si>
    <t>New Castle, IN</t>
  </si>
  <si>
    <t>35260</t>
  </si>
  <si>
    <t>New Castle, PA</t>
  </si>
  <si>
    <t>35300</t>
  </si>
  <si>
    <t>New Haven-Milford, CT</t>
  </si>
  <si>
    <t>35380</t>
  </si>
  <si>
    <t>New Orleans-Metairie, LA</t>
  </si>
  <si>
    <t>35420</t>
  </si>
  <si>
    <t>New Philadelphia-Dover, OH</t>
  </si>
  <si>
    <t>35440</t>
  </si>
  <si>
    <t>Newport, OR</t>
  </si>
  <si>
    <t>35500</t>
  </si>
  <si>
    <t>Newton, IA</t>
  </si>
  <si>
    <t>35580</t>
  </si>
  <si>
    <t>New Ulm, MN</t>
  </si>
  <si>
    <t>35620</t>
  </si>
  <si>
    <t>New York-Newark-Jersey City, NY-NJ-PA</t>
  </si>
  <si>
    <t>35660</t>
  </si>
  <si>
    <t>Niles-Benton Harbor, MI</t>
  </si>
  <si>
    <t>35700</t>
  </si>
  <si>
    <t>Nogales, AZ</t>
  </si>
  <si>
    <t>35740</t>
  </si>
  <si>
    <t>Norfolk, NE</t>
  </si>
  <si>
    <t>35840</t>
  </si>
  <si>
    <t>North Port-Sarasota-Bradenton, FL</t>
  </si>
  <si>
    <t>35860</t>
  </si>
  <si>
    <t>North Vernon, IN</t>
  </si>
  <si>
    <t>35900</t>
  </si>
  <si>
    <t>North Wilkesboro, NC</t>
  </si>
  <si>
    <t>35940</t>
  </si>
  <si>
    <t>Norwalk, OH</t>
  </si>
  <si>
    <t>35980</t>
  </si>
  <si>
    <t>Norwich-New London, CT</t>
  </si>
  <si>
    <t>36020</t>
  </si>
  <si>
    <t>Oak Harbor, WA</t>
  </si>
  <si>
    <t>36100</t>
  </si>
  <si>
    <t>Ocala, FL</t>
  </si>
  <si>
    <t>36140</t>
  </si>
  <si>
    <t>Ocean City, NJ</t>
  </si>
  <si>
    <t>36220</t>
  </si>
  <si>
    <t>Odessa, TX</t>
  </si>
  <si>
    <t>36260</t>
  </si>
  <si>
    <t>Ogden-Clearfield, UT</t>
  </si>
  <si>
    <t>36300</t>
  </si>
  <si>
    <t>Ogdensburg-Massena, NY</t>
  </si>
  <si>
    <t>36340</t>
  </si>
  <si>
    <t>Oil City, PA</t>
  </si>
  <si>
    <t>36380</t>
  </si>
  <si>
    <t>Okeechobee, FL</t>
  </si>
  <si>
    <t>36420</t>
  </si>
  <si>
    <t>Oklahoma City, OK</t>
  </si>
  <si>
    <t>36460</t>
  </si>
  <si>
    <t>Olean, NY</t>
  </si>
  <si>
    <t>36500</t>
  </si>
  <si>
    <t>Olympia-Tumwater, WA</t>
  </si>
  <si>
    <t>36540</t>
  </si>
  <si>
    <t>Omaha-Council Bluffs, NE-IA</t>
  </si>
  <si>
    <t>36580</t>
  </si>
  <si>
    <t>Oneonta, NY</t>
  </si>
  <si>
    <t>36620</t>
  </si>
  <si>
    <t>Ontario, OR-ID</t>
  </si>
  <si>
    <t>36660</t>
  </si>
  <si>
    <t>Opelousas, LA</t>
  </si>
  <si>
    <t>36700</t>
  </si>
  <si>
    <t>Orangeburg, SC</t>
  </si>
  <si>
    <t>36740</t>
  </si>
  <si>
    <t>Orlando-Kissimmee-Sanford, FL</t>
  </si>
  <si>
    <t>36780</t>
  </si>
  <si>
    <t>Oshkosh-Neenah, WI</t>
  </si>
  <si>
    <t>36830</t>
  </si>
  <si>
    <t>Othello, WA</t>
  </si>
  <si>
    <t>36840</t>
  </si>
  <si>
    <t>Ottawa, KS</t>
  </si>
  <si>
    <t>36860</t>
  </si>
  <si>
    <t>Ottawa-Peru, IL</t>
  </si>
  <si>
    <t>36900</t>
  </si>
  <si>
    <t>Ottumwa, IA</t>
  </si>
  <si>
    <t>36940</t>
  </si>
  <si>
    <t>Owatonna, MN</t>
  </si>
  <si>
    <t>36980</t>
  </si>
  <si>
    <t>Owensboro, KY</t>
  </si>
  <si>
    <t>37020</t>
  </si>
  <si>
    <t>Owosso, MI</t>
  </si>
  <si>
    <t>37060</t>
  </si>
  <si>
    <t>Oxford, MS</t>
  </si>
  <si>
    <t>37080</t>
  </si>
  <si>
    <t>Oxford, NC</t>
  </si>
  <si>
    <t>37100</t>
  </si>
  <si>
    <t>Oxnard-Thousand Oaks-Ventura, CA</t>
  </si>
  <si>
    <t>37120</t>
  </si>
  <si>
    <t>Ozark, AL</t>
  </si>
  <si>
    <t>37140</t>
  </si>
  <si>
    <t>Paducah, KY-IL</t>
  </si>
  <si>
    <t>37220</t>
  </si>
  <si>
    <t>Pahrump, NV</t>
  </si>
  <si>
    <t>37260</t>
  </si>
  <si>
    <t>Palatka, FL</t>
  </si>
  <si>
    <t>37300</t>
  </si>
  <si>
    <t>Palestine, TX</t>
  </si>
  <si>
    <t>37340</t>
  </si>
  <si>
    <t>Palm Bay-Melbourne-Titusville, FL</t>
  </si>
  <si>
    <t>37420</t>
  </si>
  <si>
    <t>Pampa, TX</t>
  </si>
  <si>
    <t>37460</t>
  </si>
  <si>
    <t>Panama City, FL</t>
  </si>
  <si>
    <t>37500</t>
  </si>
  <si>
    <t>Paragould, AR</t>
  </si>
  <si>
    <t>37540</t>
  </si>
  <si>
    <t>Paris, TN</t>
  </si>
  <si>
    <t>37580</t>
  </si>
  <si>
    <t>Paris, TX</t>
  </si>
  <si>
    <t>37620</t>
  </si>
  <si>
    <t>Parkersburg-Vienna, WV</t>
  </si>
  <si>
    <t>37660</t>
  </si>
  <si>
    <t>Parsons, KS</t>
  </si>
  <si>
    <t>37740</t>
  </si>
  <si>
    <t>Payson, AZ</t>
  </si>
  <si>
    <t>37780</t>
  </si>
  <si>
    <t>Pecos, TX</t>
  </si>
  <si>
    <t>37860</t>
  </si>
  <si>
    <t>Pensacola-Ferry Pass-Brent, FL</t>
  </si>
  <si>
    <t>37900</t>
  </si>
  <si>
    <t>Peoria, IL</t>
  </si>
  <si>
    <t>37940</t>
  </si>
  <si>
    <t>Peru, IN</t>
  </si>
  <si>
    <t>37980</t>
  </si>
  <si>
    <t>Philadelphia-Camden-Wilmington, PA-NJ-DE-MD</t>
  </si>
  <si>
    <t>38060</t>
  </si>
  <si>
    <t>Phoenix-Mesa-Scottsdale, AZ</t>
  </si>
  <si>
    <t>38100</t>
  </si>
  <si>
    <t>Picayune, MS</t>
  </si>
  <si>
    <t>38180</t>
  </si>
  <si>
    <t>Pierre, SD</t>
  </si>
  <si>
    <t>38220</t>
  </si>
  <si>
    <t>Pine Bluff, AR</t>
  </si>
  <si>
    <t>38240</t>
  </si>
  <si>
    <t>Pinehurst-Southern Pines, NC</t>
  </si>
  <si>
    <t>38260</t>
  </si>
  <si>
    <t>Pittsburg, KS</t>
  </si>
  <si>
    <t>38300</t>
  </si>
  <si>
    <t>Pittsburgh, PA</t>
  </si>
  <si>
    <t>38340</t>
  </si>
  <si>
    <t>Pittsfield, MA</t>
  </si>
  <si>
    <t>38380</t>
  </si>
  <si>
    <t>Plainview, TX</t>
  </si>
  <si>
    <t>38420</t>
  </si>
  <si>
    <t>Platteville, WI</t>
  </si>
  <si>
    <t>38460</t>
  </si>
  <si>
    <t>Plattsburgh, NY</t>
  </si>
  <si>
    <t>38500</t>
  </si>
  <si>
    <t>Plymouth, IN</t>
  </si>
  <si>
    <t>38540</t>
  </si>
  <si>
    <t>Pocatello, ID</t>
  </si>
  <si>
    <t>38580</t>
  </si>
  <si>
    <t>Point Pleasant, WV-OH</t>
  </si>
  <si>
    <t>38620</t>
  </si>
  <si>
    <t>Ponca City, OK</t>
  </si>
  <si>
    <t>38700</t>
  </si>
  <si>
    <t>Pontiac, IL</t>
  </si>
  <si>
    <t>38740</t>
  </si>
  <si>
    <t>Poplar Bluff, MO</t>
  </si>
  <si>
    <t>38780</t>
  </si>
  <si>
    <t>Portales, NM</t>
  </si>
  <si>
    <t>38820</t>
  </si>
  <si>
    <t>Port Angeles, WA</t>
  </si>
  <si>
    <t>38840</t>
  </si>
  <si>
    <t>Port Clinton, OH</t>
  </si>
  <si>
    <t>38860</t>
  </si>
  <si>
    <t>Portland-South Portland, ME</t>
  </si>
  <si>
    <t>38900</t>
  </si>
  <si>
    <t>Portland-Vancouver-Hillsboro, OR-WA</t>
  </si>
  <si>
    <t>38920</t>
  </si>
  <si>
    <t>Port Lavaca, TX</t>
  </si>
  <si>
    <t>38940</t>
  </si>
  <si>
    <t>Port St. Lucie, FL</t>
  </si>
  <si>
    <t>39020</t>
  </si>
  <si>
    <t>Portsmouth, OH</t>
  </si>
  <si>
    <t>39060</t>
  </si>
  <si>
    <t>Pottsville, PA</t>
  </si>
  <si>
    <t>39140</t>
  </si>
  <si>
    <t>Prescott, AZ</t>
  </si>
  <si>
    <t>39220</t>
  </si>
  <si>
    <t>Price, UT</t>
  </si>
  <si>
    <t>39260</t>
  </si>
  <si>
    <t>Prineville, OR</t>
  </si>
  <si>
    <t>39300</t>
  </si>
  <si>
    <t>Providence-Warwick, RI-MA</t>
  </si>
  <si>
    <t>39340</t>
  </si>
  <si>
    <t>Provo-Orem, UT</t>
  </si>
  <si>
    <t>39380</t>
  </si>
  <si>
    <t>Pueblo, CO</t>
  </si>
  <si>
    <t>39420</t>
  </si>
  <si>
    <t>Pullman, WA</t>
  </si>
  <si>
    <t>39460</t>
  </si>
  <si>
    <t>Punta Gorda, FL</t>
  </si>
  <si>
    <t>39500</t>
  </si>
  <si>
    <t>Quincy, IL-MO</t>
  </si>
  <si>
    <t>39540</t>
  </si>
  <si>
    <t>Racine, WI</t>
  </si>
  <si>
    <t>39580</t>
  </si>
  <si>
    <t>Raleigh, NC</t>
  </si>
  <si>
    <t>39660</t>
  </si>
  <si>
    <t>Rapid City, SD</t>
  </si>
  <si>
    <t>39700</t>
  </si>
  <si>
    <t>Raymondville, TX</t>
  </si>
  <si>
    <t>39740</t>
  </si>
  <si>
    <t>Reading, PA</t>
  </si>
  <si>
    <t>39780</t>
  </si>
  <si>
    <t>Red Bluff, CA</t>
  </si>
  <si>
    <t>39820</t>
  </si>
  <si>
    <t>Redding, CA</t>
  </si>
  <si>
    <t>39860</t>
  </si>
  <si>
    <t>Red Wing, MN</t>
  </si>
  <si>
    <t>39900</t>
  </si>
  <si>
    <t>Reno, NV</t>
  </si>
  <si>
    <t>39940</t>
  </si>
  <si>
    <t>Rexburg, ID</t>
  </si>
  <si>
    <t>39980</t>
  </si>
  <si>
    <t>Richmond, IN</t>
  </si>
  <si>
    <t>40060</t>
  </si>
  <si>
    <t>Richmond, VA</t>
  </si>
  <si>
    <t>40080</t>
  </si>
  <si>
    <t>Richmond-Berea, KY</t>
  </si>
  <si>
    <t>40100</t>
  </si>
  <si>
    <t>Rio Grande City, TX</t>
  </si>
  <si>
    <t>40140</t>
  </si>
  <si>
    <t>Riverside-San Bernardino-Ontario, CA</t>
  </si>
  <si>
    <t>40180</t>
  </si>
  <si>
    <t>Riverton, WY</t>
  </si>
  <si>
    <t>40220</t>
  </si>
  <si>
    <t>Roanoke, VA</t>
  </si>
  <si>
    <t>40260</t>
  </si>
  <si>
    <t>Roanoke Rapids, NC</t>
  </si>
  <si>
    <t>40300</t>
  </si>
  <si>
    <t>Rochelle, IL</t>
  </si>
  <si>
    <t>40340</t>
  </si>
  <si>
    <t>Rochester, MN</t>
  </si>
  <si>
    <t>40380</t>
  </si>
  <si>
    <t>Rochester, NY</t>
  </si>
  <si>
    <t>40420</t>
  </si>
  <si>
    <t>Rockford, IL</t>
  </si>
  <si>
    <t>40460</t>
  </si>
  <si>
    <t>Rockingham, NC</t>
  </si>
  <si>
    <t>40540</t>
  </si>
  <si>
    <t>Rock Springs, WY</t>
  </si>
  <si>
    <t>40580</t>
  </si>
  <si>
    <t>Rocky Mount, NC</t>
  </si>
  <si>
    <t>40620</t>
  </si>
  <si>
    <t>Rolla, MO</t>
  </si>
  <si>
    <t>40660</t>
  </si>
  <si>
    <t>Rome, GA</t>
  </si>
  <si>
    <t>40700</t>
  </si>
  <si>
    <t>Roseburg, OR</t>
  </si>
  <si>
    <t>40740</t>
  </si>
  <si>
    <t>Roswell, NM</t>
  </si>
  <si>
    <t>40780</t>
  </si>
  <si>
    <t>Russellville, AR</t>
  </si>
  <si>
    <t>40820</t>
  </si>
  <si>
    <t>Ruston, LA</t>
  </si>
  <si>
    <t>40860</t>
  </si>
  <si>
    <t>Rutland, VT</t>
  </si>
  <si>
    <t>40900</t>
  </si>
  <si>
    <t>Sacramento--Roseville--Arden-Arcade, CA</t>
  </si>
  <si>
    <t>40940</t>
  </si>
  <si>
    <t>Safford, AZ</t>
  </si>
  <si>
    <t>40980</t>
  </si>
  <si>
    <t>Saginaw, MI</t>
  </si>
  <si>
    <t>41060</t>
  </si>
  <si>
    <t>St. Cloud, MN</t>
  </si>
  <si>
    <t>41100</t>
  </si>
  <si>
    <t>St. George, UT</t>
  </si>
  <si>
    <t>41140</t>
  </si>
  <si>
    <t>St. Joseph, MO-KS</t>
  </si>
  <si>
    <t>41180</t>
  </si>
  <si>
    <t>St. Louis, MO-IL</t>
  </si>
  <si>
    <t>41220</t>
  </si>
  <si>
    <t>St. Marys, GA</t>
  </si>
  <si>
    <t>41400</t>
  </si>
  <si>
    <t>Salem, OH</t>
  </si>
  <si>
    <t>41420</t>
  </si>
  <si>
    <t>Salem, OR</t>
  </si>
  <si>
    <t>41460</t>
  </si>
  <si>
    <t>Salina, KS</t>
  </si>
  <si>
    <t>41500</t>
  </si>
  <si>
    <t>Salinas, CA</t>
  </si>
  <si>
    <t>41540</t>
  </si>
  <si>
    <t>Salisbury, MD-DE</t>
  </si>
  <si>
    <t>41620</t>
  </si>
  <si>
    <t>Salt Lake City, UT</t>
  </si>
  <si>
    <t>41660</t>
  </si>
  <si>
    <t>San Angelo, TX</t>
  </si>
  <si>
    <t>41700</t>
  </si>
  <si>
    <t>San Antonio-New Braunfels, TX</t>
  </si>
  <si>
    <t>41740</t>
  </si>
  <si>
    <t>San Diego-Carlsbad, CA</t>
  </si>
  <si>
    <t>41760</t>
  </si>
  <si>
    <t>Sandpoint, ID</t>
  </si>
  <si>
    <t>41780</t>
  </si>
  <si>
    <t>Sandusky, OH</t>
  </si>
  <si>
    <t>41820</t>
  </si>
  <si>
    <t>Sanford, NC</t>
  </si>
  <si>
    <t>41860</t>
  </si>
  <si>
    <t>San Francisco-Oakland-Hayward, CA</t>
  </si>
  <si>
    <t>41940</t>
  </si>
  <si>
    <t>San Jose-Sunnyvale-Santa Clara, CA</t>
  </si>
  <si>
    <t>42020</t>
  </si>
  <si>
    <t>San Luis Obispo-Paso Robles-Arroyo Grande, CA</t>
  </si>
  <si>
    <t>42100</t>
  </si>
  <si>
    <t>Santa Cruz-Watsonville, CA</t>
  </si>
  <si>
    <t>42140</t>
  </si>
  <si>
    <t>Santa Fe, NM</t>
  </si>
  <si>
    <t>42200</t>
  </si>
  <si>
    <t>Santa Maria-Santa Barbara, CA</t>
  </si>
  <si>
    <t>42220</t>
  </si>
  <si>
    <t>Santa Rosa, CA</t>
  </si>
  <si>
    <t>42300</t>
  </si>
  <si>
    <t>Sault Ste. Marie, MI</t>
  </si>
  <si>
    <t>42340</t>
  </si>
  <si>
    <t>Savannah, GA</t>
  </si>
  <si>
    <t>42380</t>
  </si>
  <si>
    <t>Sayre, PA</t>
  </si>
  <si>
    <t>42420</t>
  </si>
  <si>
    <t>Scottsbluff, NE</t>
  </si>
  <si>
    <t>42460</t>
  </si>
  <si>
    <t>Scottsboro, AL</t>
  </si>
  <si>
    <t>42540</t>
  </si>
  <si>
    <t>Scranton--Wilkes-Barre--Hazleton, PA</t>
  </si>
  <si>
    <t>42620</t>
  </si>
  <si>
    <t>Searcy, AR</t>
  </si>
  <si>
    <t>42660</t>
  </si>
  <si>
    <t>Seattle-Tacoma-Bellevue, WA</t>
  </si>
  <si>
    <t>42680</t>
  </si>
  <si>
    <t>Sebastian-Vero Beach, FL</t>
  </si>
  <si>
    <t>42700</t>
  </si>
  <si>
    <t>Sebring, FL</t>
  </si>
  <si>
    <t>42740</t>
  </si>
  <si>
    <t>Sedalia, MO</t>
  </si>
  <si>
    <t>42780</t>
  </si>
  <si>
    <t>Selinsgrove, PA</t>
  </si>
  <si>
    <t>42820</t>
  </si>
  <si>
    <t>Selma, AL</t>
  </si>
  <si>
    <t>42860</t>
  </si>
  <si>
    <t>Seneca, SC</t>
  </si>
  <si>
    <t>42900</t>
  </si>
  <si>
    <t>Seneca Falls, NY</t>
  </si>
  <si>
    <t>42940</t>
  </si>
  <si>
    <t>Sevierville, TN</t>
  </si>
  <si>
    <t>42980</t>
  </si>
  <si>
    <t>Seymour, IN</t>
  </si>
  <si>
    <t>43020</t>
  </si>
  <si>
    <t>Shawano, WI</t>
  </si>
  <si>
    <t>43060</t>
  </si>
  <si>
    <t>Shawnee, OK</t>
  </si>
  <si>
    <t>43100</t>
  </si>
  <si>
    <t>Sheboygan, WI</t>
  </si>
  <si>
    <t>43140</t>
  </si>
  <si>
    <t>Shelby, NC</t>
  </si>
  <si>
    <t>43180</t>
  </si>
  <si>
    <t>Shelbyville, TN</t>
  </si>
  <si>
    <t>43220</t>
  </si>
  <si>
    <t>Shelton, WA</t>
  </si>
  <si>
    <t>43260</t>
  </si>
  <si>
    <t>Sheridan, WY</t>
  </si>
  <si>
    <t>43300</t>
  </si>
  <si>
    <t>Sherman-Denison, TX</t>
  </si>
  <si>
    <t>43320</t>
  </si>
  <si>
    <t>Show Low, AZ</t>
  </si>
  <si>
    <t>43340</t>
  </si>
  <si>
    <t>Shreveport-Bossier City, LA</t>
  </si>
  <si>
    <t>43380</t>
  </si>
  <si>
    <t>Sidney, OH</t>
  </si>
  <si>
    <t>43420</t>
  </si>
  <si>
    <t>Sierra Vista-Douglas, AZ</t>
  </si>
  <si>
    <t>43460</t>
  </si>
  <si>
    <t>Sikeston, MO</t>
  </si>
  <si>
    <t>43500</t>
  </si>
  <si>
    <t>Silver City, NM</t>
  </si>
  <si>
    <t>43580</t>
  </si>
  <si>
    <t>Sioux City, IA-NE-SD</t>
  </si>
  <si>
    <t>43620</t>
  </si>
  <si>
    <t>Sioux Falls, SD</t>
  </si>
  <si>
    <t>43660</t>
  </si>
  <si>
    <t>Snyder, TX</t>
  </si>
  <si>
    <t>43700</t>
  </si>
  <si>
    <t>Somerset, KY</t>
  </si>
  <si>
    <t>43740</t>
  </si>
  <si>
    <t>Somerset, PA</t>
  </si>
  <si>
    <t>43760</t>
  </si>
  <si>
    <t>Sonora, CA</t>
  </si>
  <si>
    <t>43780</t>
  </si>
  <si>
    <t>South Bend-Mishawaka, IN-MI</t>
  </si>
  <si>
    <t>43900</t>
  </si>
  <si>
    <t>Spartanburg, SC</t>
  </si>
  <si>
    <t>43940</t>
  </si>
  <si>
    <t>Spearfish, SD</t>
  </si>
  <si>
    <t>43980</t>
  </si>
  <si>
    <t>Spencer, IA</t>
  </si>
  <si>
    <t>44020</t>
  </si>
  <si>
    <t>Spirit Lake, IA</t>
  </si>
  <si>
    <t>44060</t>
  </si>
  <si>
    <t>Spokane-Spokane Valley, WA</t>
  </si>
  <si>
    <t>44100</t>
  </si>
  <si>
    <t>Springfield, IL</t>
  </si>
  <si>
    <t>44140</t>
  </si>
  <si>
    <t>Springfield, MA</t>
  </si>
  <si>
    <t>44180</t>
  </si>
  <si>
    <t>Springfield, MO</t>
  </si>
  <si>
    <t>44220</t>
  </si>
  <si>
    <t>Springfield, OH</t>
  </si>
  <si>
    <t>44260</t>
  </si>
  <si>
    <t>Starkville, MS</t>
  </si>
  <si>
    <t>44300</t>
  </si>
  <si>
    <t>State College, PA</t>
  </si>
  <si>
    <t>44340</t>
  </si>
  <si>
    <t>Statesboro, GA</t>
  </si>
  <si>
    <t>44420</t>
  </si>
  <si>
    <t>Staunton-Waynesboro, VA</t>
  </si>
  <si>
    <t>44460</t>
  </si>
  <si>
    <t>Steamboat Springs, CO</t>
  </si>
  <si>
    <t>44500</t>
  </si>
  <si>
    <t>Stephenville, TX</t>
  </si>
  <si>
    <t>44540</t>
  </si>
  <si>
    <t>Sterling, CO</t>
  </si>
  <si>
    <t>44580</t>
  </si>
  <si>
    <t>Sterling, IL</t>
  </si>
  <si>
    <t>44620</t>
  </si>
  <si>
    <t>Stevens Point, WI</t>
  </si>
  <si>
    <t>44660</t>
  </si>
  <si>
    <t>Stillwater, OK</t>
  </si>
  <si>
    <t>44700</t>
  </si>
  <si>
    <t>Stockton-Lodi, CA</t>
  </si>
  <si>
    <t>44740</t>
  </si>
  <si>
    <t>Storm Lake, IA</t>
  </si>
  <si>
    <t>44780</t>
  </si>
  <si>
    <t>Sturgis, MI</t>
  </si>
  <si>
    <t>44860</t>
  </si>
  <si>
    <t>Sulphur Springs, TX</t>
  </si>
  <si>
    <t>44900</t>
  </si>
  <si>
    <t>Summerville, GA</t>
  </si>
  <si>
    <t>44920</t>
  </si>
  <si>
    <t>Summit Park, UT</t>
  </si>
  <si>
    <t>44940</t>
  </si>
  <si>
    <t>Sumter, SC</t>
  </si>
  <si>
    <t>44980</t>
  </si>
  <si>
    <t>Sunbury, PA</t>
  </si>
  <si>
    <t>45000</t>
  </si>
  <si>
    <t>Susanville, CA</t>
  </si>
  <si>
    <t>45020</t>
  </si>
  <si>
    <t>Sweetwater, TX</t>
  </si>
  <si>
    <t>45060</t>
  </si>
  <si>
    <t>Syracuse, NY</t>
  </si>
  <si>
    <t>45140</t>
  </si>
  <si>
    <t>Tahlequah, OK</t>
  </si>
  <si>
    <t>45180</t>
  </si>
  <si>
    <t>Talladega-Sylacauga, AL</t>
  </si>
  <si>
    <t>45220</t>
  </si>
  <si>
    <t>Tallahassee, FL</t>
  </si>
  <si>
    <t>45300</t>
  </si>
  <si>
    <t>Tampa-St. Petersburg-Clearwater, FL</t>
  </si>
  <si>
    <t>45340</t>
  </si>
  <si>
    <t>Taos, NM</t>
  </si>
  <si>
    <t>45380</t>
  </si>
  <si>
    <t>Taylorville, IL</t>
  </si>
  <si>
    <t>45460</t>
  </si>
  <si>
    <t>Terre Haute, IN</t>
  </si>
  <si>
    <t>45500</t>
  </si>
  <si>
    <t>Texarkana, TX-AR</t>
  </si>
  <si>
    <t>45520</t>
  </si>
  <si>
    <t>The Dalles, OR</t>
  </si>
  <si>
    <t>45540</t>
  </si>
  <si>
    <t>The Villages, FL</t>
  </si>
  <si>
    <t>45580</t>
  </si>
  <si>
    <t>Thomaston, GA</t>
  </si>
  <si>
    <t>45620</t>
  </si>
  <si>
    <t>Thomasville, GA</t>
  </si>
  <si>
    <t>45660</t>
  </si>
  <si>
    <t>Tiffin, OH</t>
  </si>
  <si>
    <t>45700</t>
  </si>
  <si>
    <t>Tifton, GA</t>
  </si>
  <si>
    <t>45740</t>
  </si>
  <si>
    <t>Toccoa, GA</t>
  </si>
  <si>
    <t>45780</t>
  </si>
  <si>
    <t>Toledo, OH</t>
  </si>
  <si>
    <t>45820</t>
  </si>
  <si>
    <t>Topeka, KS</t>
  </si>
  <si>
    <t>45860</t>
  </si>
  <si>
    <t>Torrington, CT</t>
  </si>
  <si>
    <t>45900</t>
  </si>
  <si>
    <t>Traverse City, MI</t>
  </si>
  <si>
    <t>45940</t>
  </si>
  <si>
    <t>Trenton, NJ</t>
  </si>
  <si>
    <t>45980</t>
  </si>
  <si>
    <t>Troy, AL</t>
  </si>
  <si>
    <t>46020</t>
  </si>
  <si>
    <t>Truckee-Grass Valley, CA</t>
  </si>
  <si>
    <t>46060</t>
  </si>
  <si>
    <t>Tucson, AZ</t>
  </si>
  <si>
    <t>46100</t>
  </si>
  <si>
    <t>Tullahoma-Manchester, TN</t>
  </si>
  <si>
    <t>46140</t>
  </si>
  <si>
    <t>Tulsa, OK</t>
  </si>
  <si>
    <t>46180</t>
  </si>
  <si>
    <t>Tupelo, MS</t>
  </si>
  <si>
    <t>46220</t>
  </si>
  <si>
    <t>Tuscaloosa, AL</t>
  </si>
  <si>
    <t>46300</t>
  </si>
  <si>
    <t>Twin Falls, ID</t>
  </si>
  <si>
    <t>46340</t>
  </si>
  <si>
    <t>Tyler, TX</t>
  </si>
  <si>
    <t>46380</t>
  </si>
  <si>
    <t>Ukiah, CA</t>
  </si>
  <si>
    <t>46460</t>
  </si>
  <si>
    <t>Union City, TN-KY</t>
  </si>
  <si>
    <t>46500</t>
  </si>
  <si>
    <t>Urbana, OH</t>
  </si>
  <si>
    <t>46520</t>
  </si>
  <si>
    <t>Urban Honolulu, HI</t>
  </si>
  <si>
    <t>46540</t>
  </si>
  <si>
    <t>Utica-Rome, NY</t>
  </si>
  <si>
    <t>46620</t>
  </si>
  <si>
    <t>Uvalde, TX</t>
  </si>
  <si>
    <t>46660</t>
  </si>
  <si>
    <t>Valdosta, GA</t>
  </si>
  <si>
    <t>46700</t>
  </si>
  <si>
    <t>Vallejo-Fairfield, CA</t>
  </si>
  <si>
    <t>46740</t>
  </si>
  <si>
    <t>Valley, AL</t>
  </si>
  <si>
    <t>46780</t>
  </si>
  <si>
    <t>Van Wert, OH</t>
  </si>
  <si>
    <t>46820</t>
  </si>
  <si>
    <t>Vermillion, SD</t>
  </si>
  <si>
    <t>46860</t>
  </si>
  <si>
    <t>Vernal, UT</t>
  </si>
  <si>
    <t>46900</t>
  </si>
  <si>
    <t>Vernon, TX</t>
  </si>
  <si>
    <t>46980</t>
  </si>
  <si>
    <t>Vicksburg, MS</t>
  </si>
  <si>
    <t>47020</t>
  </si>
  <si>
    <t>Victoria, TX</t>
  </si>
  <si>
    <t>47080</t>
  </si>
  <si>
    <t>Vidalia, GA</t>
  </si>
  <si>
    <t>47180</t>
  </si>
  <si>
    <t>Vincennes, IN</t>
  </si>
  <si>
    <t>47220</t>
  </si>
  <si>
    <t>Vineland-Bridgeton, NJ</t>
  </si>
  <si>
    <t>47260</t>
  </si>
  <si>
    <t>Virginia Beach-Norfolk-Newport News, VA-NC</t>
  </si>
  <si>
    <t>47300</t>
  </si>
  <si>
    <t>Visalia-Porterville, CA</t>
  </si>
  <si>
    <t>47340</t>
  </si>
  <si>
    <t>Wabash, IN</t>
  </si>
  <si>
    <t>47380</t>
  </si>
  <si>
    <t>Waco, TX</t>
  </si>
  <si>
    <t>47420</t>
  </si>
  <si>
    <t>Wahpeton, ND-MN</t>
  </si>
  <si>
    <t>47460</t>
  </si>
  <si>
    <t>Walla Walla, WA</t>
  </si>
  <si>
    <t>47540</t>
  </si>
  <si>
    <t>Wapakoneta, OH</t>
  </si>
  <si>
    <t>47580</t>
  </si>
  <si>
    <t>Warner Robins, GA</t>
  </si>
  <si>
    <t>47620</t>
  </si>
  <si>
    <t>Warren, PA</t>
  </si>
  <si>
    <t>47660</t>
  </si>
  <si>
    <t>Warrensburg, MO</t>
  </si>
  <si>
    <t>47700</t>
  </si>
  <si>
    <t>Warsaw, IN</t>
  </si>
  <si>
    <t>47780</t>
  </si>
  <si>
    <t>Washington, IN</t>
  </si>
  <si>
    <t>47820</t>
  </si>
  <si>
    <t>Washington, NC</t>
  </si>
  <si>
    <t>47900</t>
  </si>
  <si>
    <t>Washington-Arlington-Alexandria, DC-VA-MD-WV</t>
  </si>
  <si>
    <t>47940</t>
  </si>
  <si>
    <t>Waterloo-Cedar Falls, IA</t>
  </si>
  <si>
    <t>47980</t>
  </si>
  <si>
    <t>Watertown, SD</t>
  </si>
  <si>
    <t>48020</t>
  </si>
  <si>
    <t>Watertown-Fort Atkinson, WI</t>
  </si>
  <si>
    <t>48060</t>
  </si>
  <si>
    <t>Watertown-Fort Drum, NY</t>
  </si>
  <si>
    <t>48140</t>
  </si>
  <si>
    <t>Wausau, WI</t>
  </si>
  <si>
    <t>48180</t>
  </si>
  <si>
    <t>Waycross, GA</t>
  </si>
  <si>
    <t>48220</t>
  </si>
  <si>
    <t>Weatherford, OK</t>
  </si>
  <si>
    <t>48260</t>
  </si>
  <si>
    <t>Weirton-Steubenville, WV-OH</t>
  </si>
  <si>
    <t>48300</t>
  </si>
  <si>
    <t>Wenatchee, WA</t>
  </si>
  <si>
    <t>48460</t>
  </si>
  <si>
    <t>West Plains, MO</t>
  </si>
  <si>
    <t>48540</t>
  </si>
  <si>
    <t>Wheeling, WV-OH</t>
  </si>
  <si>
    <t>48580</t>
  </si>
  <si>
    <t>Whitewater-Elkhorn, WI</t>
  </si>
  <si>
    <t>48620</t>
  </si>
  <si>
    <t>Wichita, KS</t>
  </si>
  <si>
    <t>48660</t>
  </si>
  <si>
    <t>Wichita Falls, TX</t>
  </si>
  <si>
    <t>48700</t>
  </si>
  <si>
    <t>Williamsport, PA</t>
  </si>
  <si>
    <t>48780</t>
  </si>
  <si>
    <t>Williston, ND</t>
  </si>
  <si>
    <t>48820</t>
  </si>
  <si>
    <t>Willmar, MN</t>
  </si>
  <si>
    <t>48900</t>
  </si>
  <si>
    <t>Wilmington, NC</t>
  </si>
  <si>
    <t>48940</t>
  </si>
  <si>
    <t>Wilmington, OH</t>
  </si>
  <si>
    <t>48980</t>
  </si>
  <si>
    <t>Wilson, NC</t>
  </si>
  <si>
    <t>49020</t>
  </si>
  <si>
    <t>Winchester, VA-WV</t>
  </si>
  <si>
    <t>49080</t>
  </si>
  <si>
    <t>Winnemucca, NV</t>
  </si>
  <si>
    <t>49100</t>
  </si>
  <si>
    <t>Winona, MN</t>
  </si>
  <si>
    <t>49180</t>
  </si>
  <si>
    <t>Winston-Salem, NC</t>
  </si>
  <si>
    <t>49220</t>
  </si>
  <si>
    <t>Wisconsin Rapids-Marshfield, WI</t>
  </si>
  <si>
    <t>49300</t>
  </si>
  <si>
    <t>Wooster, OH</t>
  </si>
  <si>
    <t>49340</t>
  </si>
  <si>
    <t>Worcester, MA-CT</t>
  </si>
  <si>
    <t>49380</t>
  </si>
  <si>
    <t>Worthington, MN</t>
  </si>
  <si>
    <t>49420</t>
  </si>
  <si>
    <t>Yakima, WA</t>
  </si>
  <si>
    <t>49460</t>
  </si>
  <si>
    <t>Yankton, SD</t>
  </si>
  <si>
    <t>49620</t>
  </si>
  <si>
    <t>York-Hanover, PA</t>
  </si>
  <si>
    <t>49660</t>
  </si>
  <si>
    <t>Youngstown-Warren-Boardman, OH-PA</t>
  </si>
  <si>
    <t>49700</t>
  </si>
  <si>
    <t>Yuba City, CA</t>
  </si>
  <si>
    <t>49740</t>
  </si>
  <si>
    <t>Yuma, AZ</t>
  </si>
  <si>
    <t>49780</t>
  </si>
  <si>
    <t>Zanesville, OH</t>
  </si>
  <si>
    <t>49820</t>
  </si>
  <si>
    <t>Zapata, TX</t>
  </si>
  <si>
    <t>Less than $10,000</t>
  </si>
  <si>
    <t>$10,000 to $14,999</t>
  </si>
  <si>
    <t>$15,000 to $24,999</t>
  </si>
  <si>
    <t>$25,000 to $34,999</t>
  </si>
  <si>
    <t>$35,000 to $49,999</t>
  </si>
  <si>
    <t>$50,000 to $74,999</t>
  </si>
  <si>
    <t>$75,000 to $99,999</t>
  </si>
  <si>
    <t>$100,000 to $124,999</t>
  </si>
  <si>
    <t>$125,000 to $149,999</t>
  </si>
  <si>
    <t>$150,000 to $199,999</t>
  </si>
  <si>
    <t>$200,000 or more</t>
  </si>
  <si>
    <t>Don't Know</t>
  </si>
  <si>
    <t>Refused</t>
  </si>
  <si>
    <t>Don't know</t>
  </si>
  <si>
    <t>White</t>
  </si>
  <si>
    <t>Black or African American</t>
  </si>
  <si>
    <t>Asian</t>
  </si>
  <si>
    <t>American Indian or Alaska Native</t>
  </si>
  <si>
    <t>Native Hawaiian or other Pacific Islander</t>
  </si>
  <si>
    <t>Multiple responses selected</t>
  </si>
  <si>
    <t>Some other race</t>
  </si>
  <si>
    <t>[$FNAME:R1]</t>
  </si>
  <si>
    <t>[$FNAME:R2]</t>
  </si>
  <si>
    <t>[$FNAME:R3]</t>
  </si>
  <si>
    <t>[$FNAME:R4]</t>
  </si>
  <si>
    <t>[$FNAME:R5]</t>
  </si>
  <si>
    <t>[$FNAME:R6]</t>
  </si>
  <si>
    <t>[$FNAME:R7]</t>
  </si>
  <si>
    <t>[$FNAME:R8]</t>
  </si>
  <si>
    <t>[$FNAME:R9]</t>
  </si>
  <si>
    <t>[$FNAME:R10]</t>
  </si>
  <si>
    <t>[$FNAME:R11]</t>
  </si>
  <si>
    <t>[$FNAME:R12]</t>
  </si>
  <si>
    <t>[$FNAME:R13]</t>
  </si>
  <si>
    <t>[$FNAME:R14]</t>
  </si>
  <si>
    <t>[$FNAME:R15]</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</si>
  <si>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</si>
  <si>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</si>
  <si>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</si>
  <si>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</si>
  <si>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</si>
  <si>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</si>
  <si>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</si>
  <si>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</si>
  <si>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</si>
  <si>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</si>
  <si>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</si>
  <si>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</si>
  <si>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</si>
  <si>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</si>
  <si>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</si>
  <si>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</si>
  <si>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</si>
  <si>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</si>
  <si>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</si>
  <si>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</si>
  <si>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</si>
  <si>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25</t>
  </si>
  <si>
    <t>Massachusetts</t>
  </si>
  <si>
    <t>26</t>
  </si>
  <si>
    <t>Michigan</t>
  </si>
  <si>
    <t>27</t>
  </si>
  <si>
    <t>Minnesota</t>
  </si>
  <si>
    <t>28</t>
  </si>
  <si>
    <t>Mississippi</t>
  </si>
  <si>
    <t>29</t>
  </si>
  <si>
    <t>Missouri</t>
  </si>
  <si>
    <t>Montana</t>
  </si>
  <si>
    <t>Nebraska</t>
  </si>
  <si>
    <t>Nevada</t>
  </si>
  <si>
    <t>New Hampshire</t>
  </si>
  <si>
    <t>New Jersey</t>
  </si>
  <si>
    <t>35</t>
  </si>
  <si>
    <t>New Mexico</t>
  </si>
  <si>
    <t>36</t>
  </si>
  <si>
    <t>New York</t>
  </si>
  <si>
    <t>37</t>
  </si>
  <si>
    <t>North Carolina</t>
  </si>
  <si>
    <t>38</t>
  </si>
  <si>
    <t>North Dakota</t>
  </si>
  <si>
    <t>39</t>
  </si>
  <si>
    <t>Ohio</t>
  </si>
  <si>
    <t>Oklahoma</t>
  </si>
  <si>
    <t>Oregon</t>
  </si>
  <si>
    <t>Pennsylvania</t>
  </si>
  <si>
    <t>Rhode Island</t>
  </si>
  <si>
    <t>45</t>
  </si>
  <si>
    <t>South Carolina</t>
  </si>
  <si>
    <t>46</t>
  </si>
  <si>
    <t>South Dakota</t>
  </si>
  <si>
    <t>47</t>
  </si>
  <si>
    <t>Tennessee</t>
  </si>
  <si>
    <t>48</t>
  </si>
  <si>
    <t>Texas</t>
  </si>
  <si>
    <t>49</t>
  </si>
  <si>
    <t>Utah</t>
  </si>
  <si>
    <t>Vermont</t>
  </si>
  <si>
    <t>Virginia</t>
  </si>
  <si>
    <t>Washington</t>
  </si>
  <si>
    <t>West Virginia</t>
  </si>
  <si>
    <t>55</t>
  </si>
  <si>
    <t>Wisconsin</t>
  </si>
  <si>
    <t>56</t>
  </si>
  <si>
    <t>Wyoming</t>
  </si>
  <si>
    <t xml:space="preserve">Own </t>
  </si>
  <si>
    <t xml:space="preserve">Rent </t>
  </si>
  <si>
    <t xml:space="preserve">Some other arrangement </t>
  </si>
  <si>
    <t>0-49</t>
  </si>
  <si>
    <t>75</t>
  </si>
  <si>
    <t>50-99</t>
  </si>
  <si>
    <t>150</t>
  </si>
  <si>
    <t>100-249</t>
  </si>
  <si>
    <t>350</t>
  </si>
  <si>
    <t>250-499</t>
  </si>
  <si>
    <t>5000</t>
  </si>
  <si>
    <t>4,000-999,999</t>
  </si>
  <si>
    <t>New roadways</t>
  </si>
  <si>
    <t>Existing roadway maintenance / reconstruction</t>
  </si>
  <si>
    <t>Public transportation</t>
  </si>
  <si>
    <t>Sidewalks</t>
  </si>
  <si>
    <t>Parking</t>
  </si>
  <si>
    <t>High-occupancy vehicle lanes</t>
  </si>
  <si>
    <t>Bike lanes and paths</t>
  </si>
  <si>
    <t>Bike lanes</t>
  </si>
  <si>
    <t>Recreational trails</t>
  </si>
  <si>
    <t>Transportation system management / signal coordination</t>
  </si>
  <si>
    <t>No other choices apply</t>
  </si>
  <si>
    <t xml:space="preserve">Yes </t>
  </si>
  <si>
    <t>English</t>
  </si>
  <si>
    <t>EspaÃ±ol</t>
  </si>
  <si>
    <t>Auto / Truck / Van</t>
  </si>
  <si>
    <t>Train</t>
  </si>
  <si>
    <t>Airplane</t>
  </si>
  <si>
    <t>one adult, no children</t>
  </si>
  <si>
    <t>2+ adults, no children</t>
  </si>
  <si>
    <t>one adult, youngest child 0-5</t>
  </si>
  <si>
    <t>2+ adults, youngest child 0-5</t>
  </si>
  <si>
    <t>one adult, youngest child 6-15</t>
  </si>
  <si>
    <t>2+ adults, youngest child 6-15</t>
  </si>
  <si>
    <t>one adult, youngest child 16-21</t>
  </si>
  <si>
    <t>2+ adults, youngest child 16-21</t>
  </si>
  <si>
    <t>one adult, retired, no children</t>
  </si>
  <si>
    <t>2+ adults, retired, no children</t>
  </si>
  <si>
    <t>Home Location</t>
  </si>
  <si>
    <t>Work Location</t>
  </si>
  <si>
    <t>School Location</t>
  </si>
  <si>
    <t>Other Location</t>
  </si>
  <si>
    <t>The day before</t>
  </si>
  <si>
    <t>A few days before</t>
  </si>
  <si>
    <t>A week before</t>
  </si>
  <si>
    <t>More than a week before but within a month</t>
  </si>
  <si>
    <t>More than a month before</t>
  </si>
  <si>
    <t>American Motors</t>
  </si>
  <si>
    <t>Jeep (Includes Willys/Kaiser-Jeep)</t>
  </si>
  <si>
    <t>AM General</t>
  </si>
  <si>
    <t>Chrysler/Daimler Chrysler</t>
  </si>
  <si>
    <t>Dodge</t>
  </si>
  <si>
    <t>Imperial</t>
  </si>
  <si>
    <t>Plymouth</t>
  </si>
  <si>
    <t>Eagle</t>
  </si>
  <si>
    <t>Ford</t>
  </si>
  <si>
    <t>Lincoln</t>
  </si>
  <si>
    <t>Mercury</t>
  </si>
  <si>
    <t>Buick</t>
  </si>
  <si>
    <t xml:space="preserve">Cadillac </t>
  </si>
  <si>
    <t>Chevrolet</t>
  </si>
  <si>
    <t>Oldsmobile</t>
  </si>
  <si>
    <t>Pontiac</t>
  </si>
  <si>
    <t>GMC</t>
  </si>
  <si>
    <t>Saturn</t>
  </si>
  <si>
    <t>Grumman/Grumman-Olson</t>
  </si>
  <si>
    <t>Coda</t>
  </si>
  <si>
    <t>Other Domestic</t>
  </si>
  <si>
    <t>Volkswagen</t>
  </si>
  <si>
    <t>Alfa Romeo</t>
  </si>
  <si>
    <t>Audi</t>
  </si>
  <si>
    <t>Austin/Austin Healey</t>
  </si>
  <si>
    <t>BMW</t>
  </si>
  <si>
    <t>Nissan/Datsun</t>
  </si>
  <si>
    <t>Fiat</t>
  </si>
  <si>
    <t>Honda</t>
  </si>
  <si>
    <t>Isuzu</t>
  </si>
  <si>
    <t>Jaguar</t>
  </si>
  <si>
    <t>Lancia</t>
  </si>
  <si>
    <t>Mazda</t>
  </si>
  <si>
    <t>Mercedes Benz</t>
  </si>
  <si>
    <t>MG</t>
  </si>
  <si>
    <t>Peugeot</t>
  </si>
  <si>
    <t>Porsche</t>
  </si>
  <si>
    <t>Renault</t>
  </si>
  <si>
    <t>Saab</t>
  </si>
  <si>
    <t>Subaru</t>
  </si>
  <si>
    <t>Toyota</t>
  </si>
  <si>
    <t>Triumph</t>
  </si>
  <si>
    <t>Volvo</t>
  </si>
  <si>
    <t>Mitsubishi</t>
  </si>
  <si>
    <t>Suzuki</t>
  </si>
  <si>
    <t>Acura</t>
  </si>
  <si>
    <t>Hyundai</t>
  </si>
  <si>
    <t>Merkur</t>
  </si>
  <si>
    <t>57</t>
  </si>
  <si>
    <t>Yugo</t>
  </si>
  <si>
    <t>58</t>
  </si>
  <si>
    <t>Infiniti</t>
  </si>
  <si>
    <t>59</t>
  </si>
  <si>
    <t>Lexus</t>
  </si>
  <si>
    <t>Daihatsu</t>
  </si>
  <si>
    <t>Sterling</t>
  </si>
  <si>
    <t>Land Rover</t>
  </si>
  <si>
    <t>KIA</t>
  </si>
  <si>
    <t>Daewoo</t>
  </si>
  <si>
    <t>65</t>
  </si>
  <si>
    <t>Smart</t>
  </si>
  <si>
    <t>67</t>
  </si>
  <si>
    <t>Scion</t>
  </si>
  <si>
    <t>69</t>
  </si>
  <si>
    <t>Other Import</t>
  </si>
  <si>
    <t>BSA</t>
  </si>
  <si>
    <t>Ducati</t>
  </si>
  <si>
    <t>Harley-Davidson</t>
  </si>
  <si>
    <t>Kawasaki</t>
  </si>
  <si>
    <t>Moto-Guzzi</t>
  </si>
  <si>
    <t>Norton</t>
  </si>
  <si>
    <t>76</t>
  </si>
  <si>
    <t>Yamaha</t>
  </si>
  <si>
    <t>77</t>
  </si>
  <si>
    <t>Victory</t>
  </si>
  <si>
    <t>Brockway</t>
  </si>
  <si>
    <t>Diamond Reo or Reo</t>
  </si>
  <si>
    <t>Freightliner</t>
  </si>
  <si>
    <t>FWD</t>
  </si>
  <si>
    <t>International Harvester/Navistar</t>
  </si>
  <si>
    <t>85</t>
  </si>
  <si>
    <t>Kenworth</t>
  </si>
  <si>
    <t>86</t>
  </si>
  <si>
    <t>Mack</t>
  </si>
  <si>
    <t>87</t>
  </si>
  <si>
    <t>Peterbilt</t>
  </si>
  <si>
    <t>88</t>
  </si>
  <si>
    <t>Iveco/Magirus</t>
  </si>
  <si>
    <t>89</t>
  </si>
  <si>
    <t>White/Autocar-White/GMC</t>
  </si>
  <si>
    <t>Bluebird</t>
  </si>
  <si>
    <t>Eagle Coach</t>
  </si>
  <si>
    <t>Gillig</t>
  </si>
  <si>
    <t>MCI</t>
  </si>
  <si>
    <t>Thomas Built</t>
  </si>
  <si>
    <t>98</t>
  </si>
  <si>
    <t>Other</t>
  </si>
  <si>
    <t>99</t>
  </si>
  <si>
    <t>Unknown</t>
  </si>
  <si>
    <t>997</t>
  </si>
  <si>
    <t>Cane</t>
  </si>
  <si>
    <t>Walker</t>
  </si>
  <si>
    <t>White cane</t>
  </si>
  <si>
    <t>Seeing-eye dog or other K-9 assistance</t>
  </si>
  <si>
    <t>Crutches</t>
  </si>
  <si>
    <t>Motorized scooter</t>
  </si>
  <si>
    <t>Manual wheelchair</t>
  </si>
  <si>
    <t>Motorized wheelchair</t>
  </si>
  <si>
    <t>6 months or less</t>
  </si>
  <si>
    <t>More than 6 months</t>
  </si>
  <si>
    <t>All [$YOUR_THEIR] life</t>
  </si>
  <si>
    <t>1001</t>
  </si>
  <si>
    <t>Rambler American</t>
  </si>
  <si>
    <t>1002</t>
  </si>
  <si>
    <t>Rebel/Matador/Marlin</t>
  </si>
  <si>
    <t>1003</t>
  </si>
  <si>
    <t>Ambassador</t>
  </si>
  <si>
    <t>1004</t>
  </si>
  <si>
    <t>Pacer</t>
  </si>
  <si>
    <t>1005</t>
  </si>
  <si>
    <t>AMX</t>
  </si>
  <si>
    <t>1006</t>
  </si>
  <si>
    <t>Javelin</t>
  </si>
  <si>
    <t>1007</t>
  </si>
  <si>
    <t>Hornet/Concord</t>
  </si>
  <si>
    <t>1008</t>
  </si>
  <si>
    <t>Gremlin/Spirit</t>
  </si>
  <si>
    <t>1009</t>
  </si>
  <si>
    <t>1010</t>
  </si>
  <si>
    <t>Eagle SX-4</t>
  </si>
  <si>
    <t>1398</t>
  </si>
  <si>
    <t>Other (automobile)</t>
  </si>
  <si>
    <t>1399</t>
  </si>
  <si>
    <t>Unknown (automobile)</t>
  </si>
  <si>
    <t>2001</t>
  </si>
  <si>
    <t>Compass</t>
  </si>
  <si>
    <t>2401</t>
  </si>
  <si>
    <t>CJ-2/CJ-3/CJ-4</t>
  </si>
  <si>
    <t>2402</t>
  </si>
  <si>
    <t>CJ-5/CJ-6/CJ-7/CJ-8</t>
  </si>
  <si>
    <t>2403</t>
  </si>
  <si>
    <t>YJ series/Wrangler</t>
  </si>
  <si>
    <t>2404</t>
  </si>
  <si>
    <t xml:space="preserve">Cherokee (1984 on) </t>
  </si>
  <si>
    <t>2405</t>
  </si>
  <si>
    <t>Liberty</t>
  </si>
  <si>
    <t>2406</t>
  </si>
  <si>
    <t>Commander</t>
  </si>
  <si>
    <t>2407</t>
  </si>
  <si>
    <t>Patriot</t>
  </si>
  <si>
    <t>2408</t>
  </si>
  <si>
    <t>Renegade</t>
  </si>
  <si>
    <t>2421</t>
  </si>
  <si>
    <t>Cherokee (thru 1983)</t>
  </si>
  <si>
    <t>2422</t>
  </si>
  <si>
    <t>Grand Cherokee (2014 on)</t>
  </si>
  <si>
    <t>2431</t>
  </si>
  <si>
    <t>Grand Wagoneer</t>
  </si>
  <si>
    <t>2481</t>
  </si>
  <si>
    <t>Pick-up</t>
  </si>
  <si>
    <t>2482</t>
  </si>
  <si>
    <t>Comanche</t>
  </si>
  <si>
    <t>2498</t>
  </si>
  <si>
    <t xml:space="preserve">Other (light truck) </t>
  </si>
  <si>
    <t>2499</t>
  </si>
  <si>
    <t xml:space="preserve">Unknown (light truck) </t>
  </si>
  <si>
    <t>2999</t>
  </si>
  <si>
    <t>Unknown (JEEP)</t>
  </si>
  <si>
    <t>3401</t>
  </si>
  <si>
    <t>Dispatcher (Jeep)</t>
  </si>
  <si>
    <t>3402</t>
  </si>
  <si>
    <t>Hummer H3</t>
  </si>
  <si>
    <t>3421</t>
  </si>
  <si>
    <t>Hummer (1993-2003)</t>
  </si>
  <si>
    <t>3431</t>
  </si>
  <si>
    <t>Hummer (2004 on)</t>
  </si>
  <si>
    <t>3441</t>
  </si>
  <si>
    <t>MV-1</t>
  </si>
  <si>
    <t>3466</t>
  </si>
  <si>
    <t>Dispatcher (Van)</t>
  </si>
  <si>
    <t>3481</t>
  </si>
  <si>
    <t>Hummer (Pickup)</t>
  </si>
  <si>
    <t>3482</t>
  </si>
  <si>
    <t>Hummer H3T</t>
  </si>
  <si>
    <t>3498</t>
  </si>
  <si>
    <t xml:space="preserve">Other (light truck)  </t>
  </si>
  <si>
    <t>3499</t>
  </si>
  <si>
    <t xml:space="preserve">Unknown (light truck)  </t>
  </si>
  <si>
    <t>3884</t>
  </si>
  <si>
    <t>Medium/Heavy Truck</t>
  </si>
  <si>
    <t>3898</t>
  </si>
  <si>
    <t>Other (medium/heavy truck)</t>
  </si>
  <si>
    <t>3983</t>
  </si>
  <si>
    <t>Bus: Rear engine, Flat front</t>
  </si>
  <si>
    <t>3988</t>
  </si>
  <si>
    <t>Other (bus)</t>
  </si>
  <si>
    <t>3989</t>
  </si>
  <si>
    <t>Unknown Bus Type</t>
  </si>
  <si>
    <t>3998</t>
  </si>
  <si>
    <t>Other (vehicle)</t>
  </si>
  <si>
    <t>3999</t>
  </si>
  <si>
    <t xml:space="preserve">Unknown (AM GENERAL) </t>
  </si>
  <si>
    <t>6009</t>
  </si>
  <si>
    <t>Cordoba</t>
  </si>
  <si>
    <t>6010</t>
  </si>
  <si>
    <t>New Yorker (thru 1978)/Newport/5th Avenue/Imperial (1979-1983) (excludes all FWD)</t>
  </si>
  <si>
    <t>6014</t>
  </si>
  <si>
    <t>New Yorker/E-Class/Imperial (1990-1993)/Fifth Avenue</t>
  </si>
  <si>
    <t>6015</t>
  </si>
  <si>
    <t>Laser</t>
  </si>
  <si>
    <t>6016</t>
  </si>
  <si>
    <t>LeBaron</t>
  </si>
  <si>
    <t>6017</t>
  </si>
  <si>
    <t>LeBaron GTS/GTC</t>
  </si>
  <si>
    <t>6018</t>
  </si>
  <si>
    <t>200</t>
  </si>
  <si>
    <t>6021</t>
  </si>
  <si>
    <t>SRT Viper</t>
  </si>
  <si>
    <t>6031</t>
  </si>
  <si>
    <t>TC (Maserati Sport)</t>
  </si>
  <si>
    <t>6035</t>
  </si>
  <si>
    <t>Conquest</t>
  </si>
  <si>
    <t>6041</t>
  </si>
  <si>
    <t>Concorde</t>
  </si>
  <si>
    <t>6042</t>
  </si>
  <si>
    <t>LHS</t>
  </si>
  <si>
    <t>6043</t>
  </si>
  <si>
    <t>Sebring</t>
  </si>
  <si>
    <t>6044</t>
  </si>
  <si>
    <t>Cirrus</t>
  </si>
  <si>
    <t>6050</t>
  </si>
  <si>
    <t>Executive</t>
  </si>
  <si>
    <t>6051</t>
  </si>
  <si>
    <t>300M/300/300C/300S</t>
  </si>
  <si>
    <t>6052</t>
  </si>
  <si>
    <t>PT Cruiser</t>
  </si>
  <si>
    <t>6053</t>
  </si>
  <si>
    <t xml:space="preserve">Prowler (2002)  </t>
  </si>
  <si>
    <t>6054</t>
  </si>
  <si>
    <t>Pacifica</t>
  </si>
  <si>
    <t>6055</t>
  </si>
  <si>
    <t>Crossfire</t>
  </si>
  <si>
    <t>6398</t>
  </si>
  <si>
    <t xml:space="preserve">Other (automobile) </t>
  </si>
  <si>
    <t>6399</t>
  </si>
  <si>
    <t xml:space="preserve">Unknown (automobile) </t>
  </si>
  <si>
    <t>6421</t>
  </si>
  <si>
    <t>Aspen</t>
  </si>
  <si>
    <t>6441</t>
  </si>
  <si>
    <t xml:space="preserve">Town and Country </t>
  </si>
  <si>
    <t>6442</t>
  </si>
  <si>
    <t>Voyager (2000 on)</t>
  </si>
  <si>
    <t>6499</t>
  </si>
  <si>
    <t>6999</t>
  </si>
  <si>
    <t xml:space="preserve">Unknown (CHRYSLER) </t>
  </si>
  <si>
    <t>7001</t>
  </si>
  <si>
    <t>Dart (1960-1976)</t>
  </si>
  <si>
    <t>7002</t>
  </si>
  <si>
    <t>Coronet/Magnum/Charger (thru 1978)</t>
  </si>
  <si>
    <t>7003</t>
  </si>
  <si>
    <t>Polara/Monaco/Royal Monaco</t>
  </si>
  <si>
    <t>7004</t>
  </si>
  <si>
    <t>Viper</t>
  </si>
  <si>
    <t>7005</t>
  </si>
  <si>
    <t>Challenger (1970-1974)</t>
  </si>
  <si>
    <t>7006</t>
  </si>
  <si>
    <t>7007</t>
  </si>
  <si>
    <t>Diplomat</t>
  </si>
  <si>
    <t>7008</t>
  </si>
  <si>
    <t>Omni/Charger (1983-1987)</t>
  </si>
  <si>
    <t>7009</t>
  </si>
  <si>
    <t>Mirada</t>
  </si>
  <si>
    <t>7010</t>
  </si>
  <si>
    <t>St Regis</t>
  </si>
  <si>
    <t>7011</t>
  </si>
  <si>
    <t>Aries (K)</t>
  </si>
  <si>
    <t>7012</t>
  </si>
  <si>
    <t>400</t>
  </si>
  <si>
    <t>7013</t>
  </si>
  <si>
    <t>Rampage (car-based pickup)</t>
  </si>
  <si>
    <t>7014</t>
  </si>
  <si>
    <t>600</t>
  </si>
  <si>
    <t>7015</t>
  </si>
  <si>
    <t>Daytona</t>
  </si>
  <si>
    <t>7016</t>
  </si>
  <si>
    <t>Lancer</t>
  </si>
  <si>
    <t>7017</t>
  </si>
  <si>
    <t>Shadow</t>
  </si>
  <si>
    <t>7018</t>
  </si>
  <si>
    <t>Dynasty</t>
  </si>
  <si>
    <t>7019</t>
  </si>
  <si>
    <t>Spirit</t>
  </si>
  <si>
    <t>7020</t>
  </si>
  <si>
    <t>Neon</t>
  </si>
  <si>
    <t>7021</t>
  </si>
  <si>
    <t>Magnum</t>
  </si>
  <si>
    <t>7024</t>
  </si>
  <si>
    <t>Charger (2006 on)</t>
  </si>
  <si>
    <t>7025</t>
  </si>
  <si>
    <t>Caliber</t>
  </si>
  <si>
    <t>7026</t>
  </si>
  <si>
    <t>Avenger (2008 on)</t>
  </si>
  <si>
    <t>7027</t>
  </si>
  <si>
    <t>Journey</t>
  </si>
  <si>
    <t>7028</t>
  </si>
  <si>
    <t>Challenger (2008 on)</t>
  </si>
  <si>
    <t>7029</t>
  </si>
  <si>
    <t>Dart (2013 on)</t>
  </si>
  <si>
    <t>7033</t>
  </si>
  <si>
    <t>Challenger</t>
  </si>
  <si>
    <t>7034</t>
  </si>
  <si>
    <t>Colt (includes 2WD Vista)</t>
  </si>
  <si>
    <t>7035</t>
  </si>
  <si>
    <t>7039</t>
  </si>
  <si>
    <t>Stealth</t>
  </si>
  <si>
    <t>7040</t>
  </si>
  <si>
    <t>Monaco</t>
  </si>
  <si>
    <t>7041</t>
  </si>
  <si>
    <t>Intrepid</t>
  </si>
  <si>
    <t>7042</t>
  </si>
  <si>
    <t>Avenger (1995-2000)</t>
  </si>
  <si>
    <t>7043</t>
  </si>
  <si>
    <t>Stratus</t>
  </si>
  <si>
    <t>7398</t>
  </si>
  <si>
    <t>7399</t>
  </si>
  <si>
    <t>7401</t>
  </si>
  <si>
    <t>RaiderSport</t>
  </si>
  <si>
    <t>7402</t>
  </si>
  <si>
    <t>Durango (1998-2003)</t>
  </si>
  <si>
    <t>7403</t>
  </si>
  <si>
    <t>Nitro</t>
  </si>
  <si>
    <t>7421</t>
  </si>
  <si>
    <t>Ramcharger</t>
  </si>
  <si>
    <t>7422</t>
  </si>
  <si>
    <t>Durango (2004 on)</t>
  </si>
  <si>
    <t>7441</t>
  </si>
  <si>
    <t>Vista Van</t>
  </si>
  <si>
    <t>7442</t>
  </si>
  <si>
    <t>Caravan/Grand Caravan</t>
  </si>
  <si>
    <t>7443</t>
  </si>
  <si>
    <t>Ram C/V</t>
  </si>
  <si>
    <t>7444</t>
  </si>
  <si>
    <t>Promaster City</t>
  </si>
  <si>
    <t>7461</t>
  </si>
  <si>
    <t>B-Series Van/fRam Van/Ram Wagon</t>
  </si>
  <si>
    <t>7462</t>
  </si>
  <si>
    <t>Sprinter</t>
  </si>
  <si>
    <t>7463</t>
  </si>
  <si>
    <t>Ram Promaster</t>
  </si>
  <si>
    <t>7470</t>
  </si>
  <si>
    <t>Van Derivative</t>
  </si>
  <si>
    <t>7471</t>
  </si>
  <si>
    <t>D50, Colt pickup, Ram 50/Ram 100</t>
  </si>
  <si>
    <t>7472</t>
  </si>
  <si>
    <t>Dakota</t>
  </si>
  <si>
    <t>7481</t>
  </si>
  <si>
    <t>D, W-Series pickup</t>
  </si>
  <si>
    <t>7482</t>
  </si>
  <si>
    <t>Ram Pickup</t>
  </si>
  <si>
    <t>7498</t>
  </si>
  <si>
    <t>7499</t>
  </si>
  <si>
    <t>7850</t>
  </si>
  <si>
    <t>Motor Home</t>
  </si>
  <si>
    <t>7870</t>
  </si>
  <si>
    <t>Medium/Heavy Van-Based Vehicle</t>
  </si>
  <si>
    <t>7880</t>
  </si>
  <si>
    <t>Medium/Heavy Pickup (pickup-style only â€“ over 10,000 lbs)</t>
  </si>
  <si>
    <t>7881</t>
  </si>
  <si>
    <t>Medium/Heavy â€“ CBE</t>
  </si>
  <si>
    <t>7882</t>
  </si>
  <si>
    <t>Medium/Heavy â€“ COE low entry</t>
  </si>
  <si>
    <t>7883</t>
  </si>
  <si>
    <t>Medium/Heavy â€“ COE high entry</t>
  </si>
  <si>
    <t>7884</t>
  </si>
  <si>
    <t>Medium/Heavy Â­ Unknown engine Location</t>
  </si>
  <si>
    <t>7890</t>
  </si>
  <si>
    <t>Medium/Heavy Â­ COE entry position unknown</t>
  </si>
  <si>
    <t>7898</t>
  </si>
  <si>
    <t>7981</t>
  </si>
  <si>
    <t>Bus: Conventional (Engine out front)</t>
  </si>
  <si>
    <t>7988</t>
  </si>
  <si>
    <t>7989</t>
  </si>
  <si>
    <t xml:space="preserve">Unknown (bus) </t>
  </si>
  <si>
    <t>7998</t>
  </si>
  <si>
    <t xml:space="preserve">Other (vehicle) </t>
  </si>
  <si>
    <t>7999</t>
  </si>
  <si>
    <t xml:space="preserve">Unknown (DODGE) </t>
  </si>
  <si>
    <t>8010</t>
  </si>
  <si>
    <t>8398</t>
  </si>
  <si>
    <t>8399</t>
  </si>
  <si>
    <t>9001</t>
  </si>
  <si>
    <t>Valiant/Scamp/Duster (thru 1976)</t>
  </si>
  <si>
    <t>9002</t>
  </si>
  <si>
    <t>Satellite/Belvedere</t>
  </si>
  <si>
    <t>9003</t>
  </si>
  <si>
    <t>Fury (Fury Gran thru 1978)</t>
  </si>
  <si>
    <t>9004</t>
  </si>
  <si>
    <t>Gran Fury (1980 on)</t>
  </si>
  <si>
    <t>9005</t>
  </si>
  <si>
    <t>Barracuda</t>
  </si>
  <si>
    <t>9006</t>
  </si>
  <si>
    <t>Volare'</t>
  </si>
  <si>
    <t>9007</t>
  </si>
  <si>
    <t>Caravelle</t>
  </si>
  <si>
    <t>9008</t>
  </si>
  <si>
    <t>Horizon/Turismo</t>
  </si>
  <si>
    <t>9011</t>
  </si>
  <si>
    <t>Reliant (K)</t>
  </si>
  <si>
    <t>9013</t>
  </si>
  <si>
    <t>Scamp-(car-based p/u)</t>
  </si>
  <si>
    <t>9017</t>
  </si>
  <si>
    <t>Sundance</t>
  </si>
  <si>
    <t>9019</t>
  </si>
  <si>
    <t xml:space="preserve">Acclaim </t>
  </si>
  <si>
    <t>9020</t>
  </si>
  <si>
    <t>9031</t>
  </si>
  <si>
    <t>Cricket</t>
  </si>
  <si>
    <t>9032</t>
  </si>
  <si>
    <t>Arrow</t>
  </si>
  <si>
    <t>9033</t>
  </si>
  <si>
    <t>Sapporo</t>
  </si>
  <si>
    <t>9034</t>
  </si>
  <si>
    <t>Champ/Colt import (includes 2WD Vista)</t>
  </si>
  <si>
    <t>9035</t>
  </si>
  <si>
    <t>9037</t>
  </si>
  <si>
    <t>9038</t>
  </si>
  <si>
    <t>Breeze</t>
  </si>
  <si>
    <t>9039</t>
  </si>
  <si>
    <t>Prowler (1997, 1999-2001)</t>
  </si>
  <si>
    <t>9398</t>
  </si>
  <si>
    <t>9399</t>
  </si>
  <si>
    <t>9421</t>
  </si>
  <si>
    <t>Trailduster</t>
  </si>
  <si>
    <t>9441</t>
  </si>
  <si>
    <t>9442</t>
  </si>
  <si>
    <t>Voyager (minivan)</t>
  </si>
  <si>
    <t>9461</t>
  </si>
  <si>
    <t>Van-fullsize (B-series)</t>
  </si>
  <si>
    <t>9471</t>
  </si>
  <si>
    <t>Arrow pickup (foreign)</t>
  </si>
  <si>
    <t>9498</t>
  </si>
  <si>
    <t>9499</t>
  </si>
  <si>
    <t>9998</t>
  </si>
  <si>
    <t>9999</t>
  </si>
  <si>
    <t xml:space="preserve">Unknown (PLYMOUTH) </t>
  </si>
  <si>
    <t>10034</t>
  </si>
  <si>
    <t>Summit (excludes wagon)</t>
  </si>
  <si>
    <t>10037</t>
  </si>
  <si>
    <t>Talon</t>
  </si>
  <si>
    <t>10040</t>
  </si>
  <si>
    <t>Premier</t>
  </si>
  <si>
    <t>10041</t>
  </si>
  <si>
    <t>Vision</t>
  </si>
  <si>
    <t>10044</t>
  </si>
  <si>
    <t>Medallion</t>
  </si>
  <si>
    <t>10045</t>
  </si>
  <si>
    <t>Summit Wagon</t>
  </si>
  <si>
    <t>10398</t>
  </si>
  <si>
    <t>10399</t>
  </si>
  <si>
    <t>12001</t>
  </si>
  <si>
    <t>Falcon</t>
  </si>
  <si>
    <t>12002</t>
  </si>
  <si>
    <t>Fairlane</t>
  </si>
  <si>
    <t>12003</t>
  </si>
  <si>
    <t>Mustang/Mustang II</t>
  </si>
  <si>
    <t>12004</t>
  </si>
  <si>
    <t>Thunderbird (all sizes)</t>
  </si>
  <si>
    <t>12005</t>
  </si>
  <si>
    <t>LTD II</t>
  </si>
  <si>
    <t>12006</t>
  </si>
  <si>
    <t>LTD/Custom/Galaxy (all sizes)</t>
  </si>
  <si>
    <t>12007</t>
  </si>
  <si>
    <t>Ranchero</t>
  </si>
  <si>
    <t>12008</t>
  </si>
  <si>
    <t>Maverick</t>
  </si>
  <si>
    <t>12009</t>
  </si>
  <si>
    <t>Pinto</t>
  </si>
  <si>
    <t>12010</t>
  </si>
  <si>
    <t>Torino/Gran Torino/Elite</t>
  </si>
  <si>
    <t>12011</t>
  </si>
  <si>
    <t>Granada</t>
  </si>
  <si>
    <t>12012</t>
  </si>
  <si>
    <t>Fairmont</t>
  </si>
  <si>
    <t>12013</t>
  </si>
  <si>
    <t>Escort/EXP/ZX2</t>
  </si>
  <si>
    <t>12015</t>
  </si>
  <si>
    <t>Tempo</t>
  </si>
  <si>
    <t>12016</t>
  </si>
  <si>
    <t>Crown Victoria</t>
  </si>
  <si>
    <t>12017</t>
  </si>
  <si>
    <t>Taurus/Taurus X</t>
  </si>
  <si>
    <t>12018</t>
  </si>
  <si>
    <t>Probe</t>
  </si>
  <si>
    <t>12021</t>
  </si>
  <si>
    <t>Five Hundred</t>
  </si>
  <si>
    <t>12022</t>
  </si>
  <si>
    <t>Freestyle</t>
  </si>
  <si>
    <t>12023</t>
  </si>
  <si>
    <t>Fusion</t>
  </si>
  <si>
    <t>12024</t>
  </si>
  <si>
    <t>Edge</t>
  </si>
  <si>
    <t>12025</t>
  </si>
  <si>
    <t>Flex</t>
  </si>
  <si>
    <t>12026</t>
  </si>
  <si>
    <t>12027</t>
  </si>
  <si>
    <t>C-Max</t>
  </si>
  <si>
    <t>12031</t>
  </si>
  <si>
    <t>English Ford</t>
  </si>
  <si>
    <t>12032</t>
  </si>
  <si>
    <t>Fiesta</t>
  </si>
  <si>
    <t>12033</t>
  </si>
  <si>
    <t>Festiva</t>
  </si>
  <si>
    <t>12034</t>
  </si>
  <si>
    <t>12035</t>
  </si>
  <si>
    <t>Contour</t>
  </si>
  <si>
    <t>12036</t>
  </si>
  <si>
    <t>Aspire</t>
  </si>
  <si>
    <t>12037</t>
  </si>
  <si>
    <t>Focus</t>
  </si>
  <si>
    <t>12038</t>
  </si>
  <si>
    <t>GT</t>
  </si>
  <si>
    <t>12398</t>
  </si>
  <si>
    <t>Other (automobile)  Deluxe, Ford Six, Mainline,</t>
  </si>
  <si>
    <t>12399</t>
  </si>
  <si>
    <t>12401</t>
  </si>
  <si>
    <t>Bronco (thru 1977)/Bronco II/Explorer/Explorer Sport</t>
  </si>
  <si>
    <t>12402</t>
  </si>
  <si>
    <t>Escape</t>
  </si>
  <si>
    <t>12421</t>
  </si>
  <si>
    <t>Bronco-full-size (1978 on)</t>
  </si>
  <si>
    <t>12422</t>
  </si>
  <si>
    <t>Expedition</t>
  </si>
  <si>
    <t>12423</t>
  </si>
  <si>
    <t>Excursion</t>
  </si>
  <si>
    <t>12441</t>
  </si>
  <si>
    <t>Aerostar</t>
  </si>
  <si>
    <t>12442</t>
  </si>
  <si>
    <t>Windstar</t>
  </si>
  <si>
    <t>12443</t>
  </si>
  <si>
    <t>Freestar</t>
  </si>
  <si>
    <t>12444</t>
  </si>
  <si>
    <t>Transit Connect</t>
  </si>
  <si>
    <t>12461</t>
  </si>
  <si>
    <t>E-Series Van/Econoline</t>
  </si>
  <si>
    <t>12462</t>
  </si>
  <si>
    <t>Transit</t>
  </si>
  <si>
    <t>12470</t>
  </si>
  <si>
    <t>12471</t>
  </si>
  <si>
    <t>Ranger</t>
  </si>
  <si>
    <t>12473</t>
  </si>
  <si>
    <t>Explorer Sport Trac</t>
  </si>
  <si>
    <t>12481</t>
  </si>
  <si>
    <t>F-Series pickup</t>
  </si>
  <si>
    <t>12498</t>
  </si>
  <si>
    <t>12499</t>
  </si>
  <si>
    <t>12850</t>
  </si>
  <si>
    <t>12870</t>
  </si>
  <si>
    <t>12880</t>
  </si>
  <si>
    <t>Medium/Heavy Pickup (pickup-style only â€“ over 10,000 lbs.)</t>
  </si>
  <si>
    <t>12881</t>
  </si>
  <si>
    <t>12882</t>
  </si>
  <si>
    <t>12883</t>
  </si>
  <si>
    <t>12884</t>
  </si>
  <si>
    <t>Medium/Heavy Â­ Unknown engine location</t>
  </si>
  <si>
    <t>12890</t>
  </si>
  <si>
    <t>12898</t>
  </si>
  <si>
    <t>12981</t>
  </si>
  <si>
    <t>12988</t>
  </si>
  <si>
    <t xml:space="preserve">Other (bus) </t>
  </si>
  <si>
    <t>12989</t>
  </si>
  <si>
    <t>12998</t>
  </si>
  <si>
    <t>12999</t>
  </si>
  <si>
    <t xml:space="preserve">Unknown (FORD) </t>
  </si>
  <si>
    <t>13001</t>
  </si>
  <si>
    <t>Continental (thru 1981)/ Town Car</t>
  </si>
  <si>
    <t>13002</t>
  </si>
  <si>
    <t>Mark</t>
  </si>
  <si>
    <t>13005</t>
  </si>
  <si>
    <t>Continental (1982 on)</t>
  </si>
  <si>
    <t>13011</t>
  </si>
  <si>
    <t>Versailles</t>
  </si>
  <si>
    <t>13012</t>
  </si>
  <si>
    <t>LS</t>
  </si>
  <si>
    <t>13013</t>
  </si>
  <si>
    <t>Zephyr/MKZ</t>
  </si>
  <si>
    <t>13014</t>
  </si>
  <si>
    <t>MKX</t>
  </si>
  <si>
    <t>13015</t>
  </si>
  <si>
    <t>MKS</t>
  </si>
  <si>
    <t>13016</t>
  </si>
  <si>
    <t>MKT</t>
  </si>
  <si>
    <t>13398</t>
  </si>
  <si>
    <t>13399</t>
  </si>
  <si>
    <t>13401</t>
  </si>
  <si>
    <t>Aviator</t>
  </si>
  <si>
    <t>13402</t>
  </si>
  <si>
    <t>MKC</t>
  </si>
  <si>
    <t>13421</t>
  </si>
  <si>
    <t>Navigator</t>
  </si>
  <si>
    <t>13481</t>
  </si>
  <si>
    <t>Blackwood</t>
  </si>
  <si>
    <t>13482</t>
  </si>
  <si>
    <t>Mark LT</t>
  </si>
  <si>
    <t>13498</t>
  </si>
  <si>
    <t>13499</t>
  </si>
  <si>
    <t>13999</t>
  </si>
  <si>
    <t xml:space="preserve">Unknown (LINCOLN) </t>
  </si>
  <si>
    <t>14002</t>
  </si>
  <si>
    <t>Cyclone</t>
  </si>
  <si>
    <t>14003</t>
  </si>
  <si>
    <t>Capri-domestic</t>
  </si>
  <si>
    <t>14004</t>
  </si>
  <si>
    <t>Cougar (1967-1997) /XR7 (1967-1997)</t>
  </si>
  <si>
    <t>14006</t>
  </si>
  <si>
    <t>Marquis/Monterey (car version) /Grand Marquis</t>
  </si>
  <si>
    <t>14008</t>
  </si>
  <si>
    <t>Comet</t>
  </si>
  <si>
    <t>14009</t>
  </si>
  <si>
    <t>Bobcat</t>
  </si>
  <si>
    <t>Montego (thru 1976)</t>
  </si>
  <si>
    <t>14011</t>
  </si>
  <si>
    <t>Monarch</t>
  </si>
  <si>
    <t>14012</t>
  </si>
  <si>
    <t>Zephyr</t>
  </si>
  <si>
    <t>14013</t>
  </si>
  <si>
    <t>Lynx/LN7</t>
  </si>
  <si>
    <t>14015</t>
  </si>
  <si>
    <t>Topaz</t>
  </si>
  <si>
    <t>14017</t>
  </si>
  <si>
    <t>Sable</t>
  </si>
  <si>
    <t>Montego (2005 on)</t>
  </si>
  <si>
    <t>14021</t>
  </si>
  <si>
    <t>Milan</t>
  </si>
  <si>
    <t>14031</t>
  </si>
  <si>
    <t>Capri-foreign</t>
  </si>
  <si>
    <t>14033</t>
  </si>
  <si>
    <t>Pantera-foreign</t>
  </si>
  <si>
    <t>14036</t>
  </si>
  <si>
    <t>Tracer</t>
  </si>
  <si>
    <t>14037</t>
  </si>
  <si>
    <t>Mystique</t>
  </si>
  <si>
    <t>14038</t>
  </si>
  <si>
    <t>Cougar (1999-2002)</t>
  </si>
  <si>
    <t>14039</t>
  </si>
  <si>
    <t>Marauder</t>
  </si>
  <si>
    <t>14398</t>
  </si>
  <si>
    <t>14399</t>
  </si>
  <si>
    <t>14401</t>
  </si>
  <si>
    <t>Mountaineer</t>
  </si>
  <si>
    <t>14402</t>
  </si>
  <si>
    <t>Mariner</t>
  </si>
  <si>
    <t>14443</t>
  </si>
  <si>
    <t>Villager</t>
  </si>
  <si>
    <t>14444</t>
  </si>
  <si>
    <t>Monterey (van version)</t>
  </si>
  <si>
    <t>14498</t>
  </si>
  <si>
    <t>14499</t>
  </si>
  <si>
    <t>14999</t>
  </si>
  <si>
    <t xml:space="preserve">Unknown (MERCURY) </t>
  </si>
  <si>
    <t>18001</t>
  </si>
  <si>
    <t>Special/Skylark</t>
  </si>
  <si>
    <t>18002</t>
  </si>
  <si>
    <t>LeSabre/Centurion/Wildcat</t>
  </si>
  <si>
    <t>18003</t>
  </si>
  <si>
    <t>Electra/Electra 225/Park Avenue (1991 on)</t>
  </si>
  <si>
    <t>18004</t>
  </si>
  <si>
    <t>Roadmaster</t>
  </si>
  <si>
    <t>18005</t>
  </si>
  <si>
    <t>Riviera</t>
  </si>
  <si>
    <t>18007</t>
  </si>
  <si>
    <t>Century</t>
  </si>
  <si>
    <t>18008</t>
  </si>
  <si>
    <t>Apollo/Skylark</t>
  </si>
  <si>
    <t>18010</t>
  </si>
  <si>
    <t>Regal (RWD only)</t>
  </si>
  <si>
    <t>18012</t>
  </si>
  <si>
    <t>Skyhawk</t>
  </si>
  <si>
    <t>18015</t>
  </si>
  <si>
    <t>Skylark (1976-1985)</t>
  </si>
  <si>
    <t>18018</t>
  </si>
  <si>
    <t>Somerset/Skylark</t>
  </si>
  <si>
    <t>18019</t>
  </si>
  <si>
    <t>Regal (2011 on)</t>
  </si>
  <si>
    <t>Regal (FWD)</t>
  </si>
  <si>
    <t>18021</t>
  </si>
  <si>
    <t>Reatta</t>
  </si>
  <si>
    <t>18022</t>
  </si>
  <si>
    <t>LaCrosse</t>
  </si>
  <si>
    <t>18023</t>
  </si>
  <si>
    <t>Lucerne</t>
  </si>
  <si>
    <t>18024</t>
  </si>
  <si>
    <t>Enclave (2008-2012)</t>
  </si>
  <si>
    <t>18025</t>
  </si>
  <si>
    <t>Verano</t>
  </si>
  <si>
    <t>18031</t>
  </si>
  <si>
    <t>Opel Kadett</t>
  </si>
  <si>
    <t>18032</t>
  </si>
  <si>
    <t>Opel Manta</t>
  </si>
  <si>
    <t>18033</t>
  </si>
  <si>
    <t>Opel GT</t>
  </si>
  <si>
    <t>18034</t>
  </si>
  <si>
    <t>Opel Isuzu</t>
  </si>
  <si>
    <t>18398</t>
  </si>
  <si>
    <t>18399</t>
  </si>
  <si>
    <t>18401</t>
  </si>
  <si>
    <t>Rendezvous</t>
  </si>
  <si>
    <t>18402</t>
  </si>
  <si>
    <t>Rainier</t>
  </si>
  <si>
    <t>18404</t>
  </si>
  <si>
    <t>Encore</t>
  </si>
  <si>
    <t>18421</t>
  </si>
  <si>
    <t>Enclave (2013 on)</t>
  </si>
  <si>
    <t>18441</t>
  </si>
  <si>
    <t>Terraza</t>
  </si>
  <si>
    <t>18498</t>
  </si>
  <si>
    <t>18499</t>
  </si>
  <si>
    <t>18999</t>
  </si>
  <si>
    <t xml:space="preserve">Unknown (BUICK) </t>
  </si>
  <si>
    <t>19003</t>
  </si>
  <si>
    <t>Deville/Fleetwood (except Limousine)</t>
  </si>
  <si>
    <t>19004</t>
  </si>
  <si>
    <t>Limousine</t>
  </si>
  <si>
    <t>19005</t>
  </si>
  <si>
    <t>Eldorado</t>
  </si>
  <si>
    <t>19006</t>
  </si>
  <si>
    <t>Commercial Series</t>
  </si>
  <si>
    <t>19009</t>
  </si>
  <si>
    <t>Allante'</t>
  </si>
  <si>
    <t>19014</t>
  </si>
  <si>
    <t>Seville</t>
  </si>
  <si>
    <t>19016</t>
  </si>
  <si>
    <t>Cimarron</t>
  </si>
  <si>
    <t>19017</t>
  </si>
  <si>
    <t>Catera</t>
  </si>
  <si>
    <t>19018</t>
  </si>
  <si>
    <t>CTS/CTC</t>
  </si>
  <si>
    <t>19019</t>
  </si>
  <si>
    <t>XLR</t>
  </si>
  <si>
    <t>19020</t>
  </si>
  <si>
    <t>SRX</t>
  </si>
  <si>
    <t>19021</t>
  </si>
  <si>
    <t>STS</t>
  </si>
  <si>
    <t>19022</t>
  </si>
  <si>
    <t>DTS</t>
  </si>
  <si>
    <t>19023</t>
  </si>
  <si>
    <t>XTS</t>
  </si>
  <si>
    <t>19024</t>
  </si>
  <si>
    <t>ATS</t>
  </si>
  <si>
    <t>19025</t>
  </si>
  <si>
    <t>ELR</t>
  </si>
  <si>
    <t>19398</t>
  </si>
  <si>
    <t>19399</t>
  </si>
  <si>
    <t>19421</t>
  </si>
  <si>
    <t>Escalade/ESV (2004 on)</t>
  </si>
  <si>
    <t>19431</t>
  </si>
  <si>
    <t>Escalade ESV (2003)</t>
  </si>
  <si>
    <t>19480</t>
  </si>
  <si>
    <t>Escalade EXT (2002 -2006)</t>
  </si>
  <si>
    <t>19481</t>
  </si>
  <si>
    <t>Escalade EXT (2007)</t>
  </si>
  <si>
    <t>19498</t>
  </si>
  <si>
    <t>19499</t>
  </si>
  <si>
    <t>19999</t>
  </si>
  <si>
    <t xml:space="preserve">Unknown (CADILLAC) </t>
  </si>
  <si>
    <t>20001</t>
  </si>
  <si>
    <t>Chevelle/Malibu (thru 1983)</t>
  </si>
  <si>
    <t>20002</t>
  </si>
  <si>
    <t>Impala/Caprice (2014 on)</t>
  </si>
  <si>
    <t>20004</t>
  </si>
  <si>
    <t>Corvette</t>
  </si>
  <si>
    <t>20006</t>
  </si>
  <si>
    <t>Corvair</t>
  </si>
  <si>
    <t>20007</t>
  </si>
  <si>
    <t>El Camino</t>
  </si>
  <si>
    <t>20008</t>
  </si>
  <si>
    <t>Nova (thru 1979)</t>
  </si>
  <si>
    <t>20009</t>
  </si>
  <si>
    <t>Camaro</t>
  </si>
  <si>
    <t>20010</t>
  </si>
  <si>
    <t>Monte Carlo (thru 1988)</t>
  </si>
  <si>
    <t>20011</t>
  </si>
  <si>
    <t>Vega</t>
  </si>
  <si>
    <t>20012</t>
  </si>
  <si>
    <t>Monza</t>
  </si>
  <si>
    <t>20013</t>
  </si>
  <si>
    <t>Chevette</t>
  </si>
  <si>
    <t>20015</t>
  </si>
  <si>
    <t>Citation</t>
  </si>
  <si>
    <t>20016</t>
  </si>
  <si>
    <t>Cavalier</t>
  </si>
  <si>
    <t>20017</t>
  </si>
  <si>
    <t>Celebrity</t>
  </si>
  <si>
    <t>20019</t>
  </si>
  <si>
    <t>Beretta/Corsica</t>
  </si>
  <si>
    <t>Lumina</t>
  </si>
  <si>
    <t>20021</t>
  </si>
  <si>
    <t>SS (2014 on)</t>
  </si>
  <si>
    <t>20022</t>
  </si>
  <si>
    <t>Cobalt</t>
  </si>
  <si>
    <t>20023</t>
  </si>
  <si>
    <t>HHR</t>
  </si>
  <si>
    <t>20024</t>
  </si>
  <si>
    <t>Traverse (2009-2012)</t>
  </si>
  <si>
    <t>20025</t>
  </si>
  <si>
    <t>Cruze</t>
  </si>
  <si>
    <t>20026</t>
  </si>
  <si>
    <t>Volt</t>
  </si>
  <si>
    <t>20027</t>
  </si>
  <si>
    <t>Caprice PPV</t>
  </si>
  <si>
    <t>20028</t>
  </si>
  <si>
    <t>Sonic</t>
  </si>
  <si>
    <t>20029</t>
  </si>
  <si>
    <t>Spark</t>
  </si>
  <si>
    <t>20031</t>
  </si>
  <si>
    <t>Spectrum</t>
  </si>
  <si>
    <t>20032</t>
  </si>
  <si>
    <t>Nova/Geo Prism/Prism</t>
  </si>
  <si>
    <t>20033</t>
  </si>
  <si>
    <t>Sprint/Geo Sprint</t>
  </si>
  <si>
    <t>20034</t>
  </si>
  <si>
    <t>Geo Metro/Metro</t>
  </si>
  <si>
    <t>20035</t>
  </si>
  <si>
    <t>Geo Storm</t>
  </si>
  <si>
    <t>20036</t>
  </si>
  <si>
    <t>Monte Carlo (1995 on)</t>
  </si>
  <si>
    <t>20037</t>
  </si>
  <si>
    <t>Malibu/Malibu Maxx</t>
  </si>
  <si>
    <t>20038</t>
  </si>
  <si>
    <t>SSR</t>
  </si>
  <si>
    <t>20039</t>
  </si>
  <si>
    <t>Aveo/Aveo 5</t>
  </si>
  <si>
    <t>20398</t>
  </si>
  <si>
    <t>20399</t>
  </si>
  <si>
    <t>20401</t>
  </si>
  <si>
    <t>S-10 Blazer/TrailBlazer (2002 only)</t>
  </si>
  <si>
    <t>20402</t>
  </si>
  <si>
    <t>Geo Tracker/Tracker</t>
  </si>
  <si>
    <t>20403</t>
  </si>
  <si>
    <t>TrailBlazer (2003 on)</t>
  </si>
  <si>
    <t>20404</t>
  </si>
  <si>
    <t>Equinox</t>
  </si>
  <si>
    <t>20405</t>
  </si>
  <si>
    <t>Captiva</t>
  </si>
  <si>
    <t>20406</t>
  </si>
  <si>
    <t>Trax</t>
  </si>
  <si>
    <t>20421</t>
  </si>
  <si>
    <t>Fullsize Blazer/Tahoe</t>
  </si>
  <si>
    <t>20422</t>
  </si>
  <si>
    <t>Suburban (2004 on)</t>
  </si>
  <si>
    <t>20423</t>
  </si>
  <si>
    <t>Traverse (2013 on)</t>
  </si>
  <si>
    <t>20431</t>
  </si>
  <si>
    <t>Suburban (1950-2003)</t>
  </si>
  <si>
    <t>20441</t>
  </si>
  <si>
    <t>Astro Van</t>
  </si>
  <si>
    <t>20442</t>
  </si>
  <si>
    <t>Lumina APV</t>
  </si>
  <si>
    <t>20443</t>
  </si>
  <si>
    <t>Venture</t>
  </si>
  <si>
    <t>20444</t>
  </si>
  <si>
    <t>Uplander</t>
  </si>
  <si>
    <t>20445</t>
  </si>
  <si>
    <t>City Express</t>
  </si>
  <si>
    <t>20461</t>
  </si>
  <si>
    <t>G-series van</t>
  </si>
  <si>
    <t>20466</t>
  </si>
  <si>
    <t>P-series van</t>
  </si>
  <si>
    <t>20470</t>
  </si>
  <si>
    <t>Van derivative</t>
  </si>
  <si>
    <t>20471</t>
  </si>
  <si>
    <t>S-10/T-10 Pickup</t>
  </si>
  <si>
    <t>20472</t>
  </si>
  <si>
    <t>LUV</t>
  </si>
  <si>
    <t>20473</t>
  </si>
  <si>
    <t>20481</t>
  </si>
  <si>
    <t>C, K, R, V-Series pickup/Silverado</t>
  </si>
  <si>
    <t>20482</t>
  </si>
  <si>
    <t>Avalanche</t>
  </si>
  <si>
    <t>20498</t>
  </si>
  <si>
    <t>20499</t>
  </si>
  <si>
    <t>20850</t>
  </si>
  <si>
    <t>20870</t>
  </si>
  <si>
    <t>20880</t>
  </si>
  <si>
    <t>20881</t>
  </si>
  <si>
    <t>20882</t>
  </si>
  <si>
    <t>20883</t>
  </si>
  <si>
    <t>20884</t>
  </si>
  <si>
    <t>20890</t>
  </si>
  <si>
    <t>20898</t>
  </si>
  <si>
    <t>20981</t>
  </si>
  <si>
    <t>20988</t>
  </si>
  <si>
    <t>20989</t>
  </si>
  <si>
    <t>20998</t>
  </si>
  <si>
    <t>20999</t>
  </si>
  <si>
    <t xml:space="preserve">Unknown (CHEVROLET)  </t>
  </si>
  <si>
    <t>21001</t>
  </si>
  <si>
    <t>Cutlass (RWD-only)</t>
  </si>
  <si>
    <t>21002</t>
  </si>
  <si>
    <t>Delta 88/LSS</t>
  </si>
  <si>
    <t>21003</t>
  </si>
  <si>
    <t>Ninety-Eight/Regency</t>
  </si>
  <si>
    <t>21005</t>
  </si>
  <si>
    <t>Toronado</t>
  </si>
  <si>
    <t>21006</t>
  </si>
  <si>
    <t>21012</t>
  </si>
  <si>
    <t>Starfire</t>
  </si>
  <si>
    <t>21015</t>
  </si>
  <si>
    <t>Omega</t>
  </si>
  <si>
    <t>21016</t>
  </si>
  <si>
    <t>Firenza</t>
  </si>
  <si>
    <t>21017</t>
  </si>
  <si>
    <t>Ciera</t>
  </si>
  <si>
    <t>21018</t>
  </si>
  <si>
    <t>Calais</t>
  </si>
  <si>
    <t>Cutlass (FWD)</t>
  </si>
  <si>
    <t>21021</t>
  </si>
  <si>
    <t>Achieva/Alero</t>
  </si>
  <si>
    <t>21022</t>
  </si>
  <si>
    <t>Aurora</t>
  </si>
  <si>
    <t>21023</t>
  </si>
  <si>
    <t>Intrigue</t>
  </si>
  <si>
    <t>21398</t>
  </si>
  <si>
    <t>21399</t>
  </si>
  <si>
    <t>21401</t>
  </si>
  <si>
    <t>Bravada</t>
  </si>
  <si>
    <t>21441</t>
  </si>
  <si>
    <t>Silhouette</t>
  </si>
  <si>
    <t>21499</t>
  </si>
  <si>
    <t>21999</t>
  </si>
  <si>
    <t xml:space="preserve">Unknown (OLDSMOBILE) </t>
  </si>
  <si>
    <t>22001</t>
  </si>
  <si>
    <t>Lemans /Tempest (thru 1970)</t>
  </si>
  <si>
    <t>22002</t>
  </si>
  <si>
    <t>Bonneville/Catalina/ Parisienne</t>
  </si>
  <si>
    <t>22005</t>
  </si>
  <si>
    <t>Fiero</t>
  </si>
  <si>
    <t>22008</t>
  </si>
  <si>
    <t>Ventura/GTO</t>
  </si>
  <si>
    <t>22009</t>
  </si>
  <si>
    <t>Firebird/Trans AM</t>
  </si>
  <si>
    <t>22010</t>
  </si>
  <si>
    <t>Grand Prix (RWD)</t>
  </si>
  <si>
    <t>22011</t>
  </si>
  <si>
    <t>Astre</t>
  </si>
  <si>
    <t>22012</t>
  </si>
  <si>
    <t>Sunbird (thru 1980)</t>
  </si>
  <si>
    <t>22013</t>
  </si>
  <si>
    <t>T-1000/1000</t>
  </si>
  <si>
    <t>22015</t>
  </si>
  <si>
    <t>Phoenix</t>
  </si>
  <si>
    <t>22016</t>
  </si>
  <si>
    <t>Sunbird (1985-1994) /J-2000/Sunfire (1995 on)</t>
  </si>
  <si>
    <t>22017</t>
  </si>
  <si>
    <t>6000</t>
  </si>
  <si>
    <t>22018</t>
  </si>
  <si>
    <t>Grand AM</t>
  </si>
  <si>
    <t>22019</t>
  </si>
  <si>
    <t>G5</t>
  </si>
  <si>
    <t>Grand Prix (FWD)</t>
  </si>
  <si>
    <t>22022</t>
  </si>
  <si>
    <t>G6</t>
  </si>
  <si>
    <t>22023</t>
  </si>
  <si>
    <t>Solstice</t>
  </si>
  <si>
    <t>22024</t>
  </si>
  <si>
    <t>G8</t>
  </si>
  <si>
    <t>22025</t>
  </si>
  <si>
    <t>G3</t>
  </si>
  <si>
    <t>22031</t>
  </si>
  <si>
    <t>Lemans (1988 on)</t>
  </si>
  <si>
    <t>22032</t>
  </si>
  <si>
    <t>Vibe</t>
  </si>
  <si>
    <t>22398</t>
  </si>
  <si>
    <t>22399</t>
  </si>
  <si>
    <t>22401</t>
  </si>
  <si>
    <t>Aztek</t>
  </si>
  <si>
    <t>22403</t>
  </si>
  <si>
    <t>Torrent</t>
  </si>
  <si>
    <t>22441</t>
  </si>
  <si>
    <t>Trans Sport/ Montana/SV6</t>
  </si>
  <si>
    <t>22499</t>
  </si>
  <si>
    <t>22999</t>
  </si>
  <si>
    <t xml:space="preserve">Unknown (PONTIAC) </t>
  </si>
  <si>
    <t>23007</t>
  </si>
  <si>
    <t>Caballero</t>
  </si>
  <si>
    <t>23008</t>
  </si>
  <si>
    <t>Acadia (2007-2012)</t>
  </si>
  <si>
    <t>23399</t>
  </si>
  <si>
    <t>23401</t>
  </si>
  <si>
    <t>Jimmy/Typhoon/Envoy</t>
  </si>
  <si>
    <t>23402</t>
  </si>
  <si>
    <t>Terrain</t>
  </si>
  <si>
    <t>23421</t>
  </si>
  <si>
    <t>Full-size Jimmy/Yukon</t>
  </si>
  <si>
    <t>23422</t>
  </si>
  <si>
    <t>Suburban/Yukon XL (2004 on)</t>
  </si>
  <si>
    <t>23423</t>
  </si>
  <si>
    <t>Acadia (2013 on)</t>
  </si>
  <si>
    <t>23431</t>
  </si>
  <si>
    <t>Suburban/Yukon XL (1950-2003 only)</t>
  </si>
  <si>
    <t>23441</t>
  </si>
  <si>
    <t>Safari (Minivan)</t>
  </si>
  <si>
    <t>23461</t>
  </si>
  <si>
    <t>G-series van/Savana</t>
  </si>
  <si>
    <t>23466</t>
  </si>
  <si>
    <t>23470</t>
  </si>
  <si>
    <t>23471</t>
  </si>
  <si>
    <t>S15/T15/Sonoma</t>
  </si>
  <si>
    <t>23472</t>
  </si>
  <si>
    <t>Canyon</t>
  </si>
  <si>
    <t>23481</t>
  </si>
  <si>
    <t>C, K, R, V-series pickup/Sierra</t>
  </si>
  <si>
    <t>23498</t>
  </si>
  <si>
    <t>23499</t>
  </si>
  <si>
    <t>23850</t>
  </si>
  <si>
    <t>23870</t>
  </si>
  <si>
    <t>23880</t>
  </si>
  <si>
    <t>23881</t>
  </si>
  <si>
    <t>23882</t>
  </si>
  <si>
    <t>23883</t>
  </si>
  <si>
    <t>23884</t>
  </si>
  <si>
    <t>23890</t>
  </si>
  <si>
    <t>23898</t>
  </si>
  <si>
    <t>23981</t>
  </si>
  <si>
    <t>23988</t>
  </si>
  <si>
    <t>23989</t>
  </si>
  <si>
    <t>23998</t>
  </si>
  <si>
    <t>23999</t>
  </si>
  <si>
    <t xml:space="preserve">Unknown (GMC) </t>
  </si>
  <si>
    <t>24001</t>
  </si>
  <si>
    <t>SL</t>
  </si>
  <si>
    <t>24002</t>
  </si>
  <si>
    <t>SC</t>
  </si>
  <si>
    <t>24003</t>
  </si>
  <si>
    <t>SW</t>
  </si>
  <si>
    <t>24004</t>
  </si>
  <si>
    <t>EV1/EGV1</t>
  </si>
  <si>
    <t>24005</t>
  </si>
  <si>
    <t>24006</t>
  </si>
  <si>
    <t>LW</t>
  </si>
  <si>
    <t>24007</t>
  </si>
  <si>
    <t>Ion</t>
  </si>
  <si>
    <t>24008</t>
  </si>
  <si>
    <t>Sky</t>
  </si>
  <si>
    <t>24009</t>
  </si>
  <si>
    <t>Aura</t>
  </si>
  <si>
    <t>24010</t>
  </si>
  <si>
    <t>Outlook</t>
  </si>
  <si>
    <t>24011</t>
  </si>
  <si>
    <t>Astra</t>
  </si>
  <si>
    <t>24398</t>
  </si>
  <si>
    <t>24399</t>
  </si>
  <si>
    <t>24401</t>
  </si>
  <si>
    <t>Vue</t>
  </si>
  <si>
    <t>24441</t>
  </si>
  <si>
    <t>Relay</t>
  </si>
  <si>
    <t>24499</t>
  </si>
  <si>
    <t>Unknown (light truck)</t>
  </si>
  <si>
    <t>24999</t>
  </si>
  <si>
    <t xml:space="preserve">Unknown (SATURN) </t>
  </si>
  <si>
    <t>25401</t>
  </si>
  <si>
    <t>LLV</t>
  </si>
  <si>
    <t>25441</t>
  </si>
  <si>
    <t>Step-in van</t>
  </si>
  <si>
    <t>25498</t>
  </si>
  <si>
    <t>25499</t>
  </si>
  <si>
    <t>25881</t>
  </si>
  <si>
    <t>25882</t>
  </si>
  <si>
    <t>Medium/Heavy - COE low entry</t>
  </si>
  <si>
    <t>25883</t>
  </si>
  <si>
    <t>Medium/Heavy - COE high entry</t>
  </si>
  <si>
    <t>25884</t>
  </si>
  <si>
    <t>Medium/Heavy - engine location unknown</t>
  </si>
  <si>
    <t>25890</t>
  </si>
  <si>
    <t>Medium/Heavy - entry position unknown</t>
  </si>
  <si>
    <t>25898</t>
  </si>
  <si>
    <t>25983</t>
  </si>
  <si>
    <t>Bus: Flat front, rear engine</t>
  </si>
  <si>
    <t>25988</t>
  </si>
  <si>
    <t>25989</t>
  </si>
  <si>
    <t>25999</t>
  </si>
  <si>
    <t>Unknown (GRUMMAN/GRUMMAN-OLSON)</t>
  </si>
  <si>
    <t>26001</t>
  </si>
  <si>
    <t>26398</t>
  </si>
  <si>
    <t>26399</t>
  </si>
  <si>
    <t>29001</t>
  </si>
  <si>
    <t>Studabaker/Avanti</t>
  </si>
  <si>
    <t>29002</t>
  </si>
  <si>
    <t>Checker</t>
  </si>
  <si>
    <t>29003</t>
  </si>
  <si>
    <t>Panoz</t>
  </si>
  <si>
    <t>29004</t>
  </si>
  <si>
    <t>Saleen</t>
  </si>
  <si>
    <t>29005</t>
  </si>
  <si>
    <t>Tesla</t>
  </si>
  <si>
    <t>29398</t>
  </si>
  <si>
    <t>29399</t>
  </si>
  <si>
    <t xml:space="preserve">Unknown Make </t>
  </si>
  <si>
    <t>30031</t>
  </si>
  <si>
    <t>Karmann Ghia</t>
  </si>
  <si>
    <t>30032</t>
  </si>
  <si>
    <t>Beetle 1300/1500</t>
  </si>
  <si>
    <t>30033</t>
  </si>
  <si>
    <t>Super Beetle</t>
  </si>
  <si>
    <t>30034</t>
  </si>
  <si>
    <t>411/412</t>
  </si>
  <si>
    <t>30035</t>
  </si>
  <si>
    <t>Squareback/Fastback</t>
  </si>
  <si>
    <t>30036</t>
  </si>
  <si>
    <t>Rabbit</t>
  </si>
  <si>
    <t>30037</t>
  </si>
  <si>
    <t>Dasher</t>
  </si>
  <si>
    <t>30038</t>
  </si>
  <si>
    <t>Scirocco</t>
  </si>
  <si>
    <t>30040</t>
  </si>
  <si>
    <t>Jetta/Jetta SportsWagen</t>
  </si>
  <si>
    <t>30041</t>
  </si>
  <si>
    <t>Quantum</t>
  </si>
  <si>
    <t>30042</t>
  </si>
  <si>
    <t>Golf/Cabriolet/Cabrio/GTI/GLI</t>
  </si>
  <si>
    <t>30043</t>
  </si>
  <si>
    <t>Rabbit Pickup</t>
  </si>
  <si>
    <t>30044</t>
  </si>
  <si>
    <t>Fox</t>
  </si>
  <si>
    <t>30045</t>
  </si>
  <si>
    <t>Corrado</t>
  </si>
  <si>
    <t>30046</t>
  </si>
  <si>
    <t>Passat (CC 2008-2011)</t>
  </si>
  <si>
    <t>30047</t>
  </si>
  <si>
    <t>New Beetle</t>
  </si>
  <si>
    <t>30048</t>
  </si>
  <si>
    <t>Phaeton</t>
  </si>
  <si>
    <t>30051</t>
  </si>
  <si>
    <t>Eos</t>
  </si>
  <si>
    <t>30052</t>
  </si>
  <si>
    <t>CC (2012 on)</t>
  </si>
  <si>
    <t>30398</t>
  </si>
  <si>
    <t>30399</t>
  </si>
  <si>
    <t>30401</t>
  </si>
  <si>
    <t>The Thing (181)</t>
  </si>
  <si>
    <t>30402</t>
  </si>
  <si>
    <t>Tiguan</t>
  </si>
  <si>
    <t>30421</t>
  </si>
  <si>
    <t>Touareg/Touareg 2</t>
  </si>
  <si>
    <t>30441</t>
  </si>
  <si>
    <t>Vanagon/Camper</t>
  </si>
  <si>
    <t>30442</t>
  </si>
  <si>
    <t>Eurovan</t>
  </si>
  <si>
    <t>30443</t>
  </si>
  <si>
    <t>Routan</t>
  </si>
  <si>
    <t>30498</t>
  </si>
  <si>
    <t>30499</t>
  </si>
  <si>
    <t>30998</t>
  </si>
  <si>
    <t>30999</t>
  </si>
  <si>
    <t>Unknown (VOLKSWAGEN)</t>
  </si>
  <si>
    <t>31031</t>
  </si>
  <si>
    <t>Spider (Spyder)</t>
  </si>
  <si>
    <t>31032</t>
  </si>
  <si>
    <t>Sports Sedan</t>
  </si>
  <si>
    <t>31033</t>
  </si>
  <si>
    <t>Sprint/Special</t>
  </si>
  <si>
    <t>31034</t>
  </si>
  <si>
    <t>GTV-6</t>
  </si>
  <si>
    <t>31035</t>
  </si>
  <si>
    <t>164 (Alpha 164)</t>
  </si>
  <si>
    <t>31036</t>
  </si>
  <si>
    <t>4c</t>
  </si>
  <si>
    <t>31037</t>
  </si>
  <si>
    <t>Giulia</t>
  </si>
  <si>
    <t>31398</t>
  </si>
  <si>
    <t>31399</t>
  </si>
  <si>
    <t>32031</t>
  </si>
  <si>
    <t>Super 90</t>
  </si>
  <si>
    <t>32032</t>
  </si>
  <si>
    <t>100</t>
  </si>
  <si>
    <t>32033</t>
  </si>
  <si>
    <t>32034</t>
  </si>
  <si>
    <t>4000</t>
  </si>
  <si>
    <t>32035</t>
  </si>
  <si>
    <t>32036</t>
  </si>
  <si>
    <t>80/90</t>
  </si>
  <si>
    <t>32037</t>
  </si>
  <si>
    <t>32038</t>
  </si>
  <si>
    <t>V-8 Quattro</t>
  </si>
  <si>
    <t>32039</t>
  </si>
  <si>
    <t>Coupe Quattro</t>
  </si>
  <si>
    <t>32040</t>
  </si>
  <si>
    <t>S4 (1992-1994; 2000-2011)</t>
  </si>
  <si>
    <t>32041</t>
  </si>
  <si>
    <t>Cabriolet (1994-1998)</t>
  </si>
  <si>
    <t>32042</t>
  </si>
  <si>
    <t>A6</t>
  </si>
  <si>
    <t>32043</t>
  </si>
  <si>
    <t>A4</t>
  </si>
  <si>
    <t>32044</t>
  </si>
  <si>
    <t>A8</t>
  </si>
  <si>
    <t>32045</t>
  </si>
  <si>
    <t>TT/TTS</t>
  </si>
  <si>
    <t>32046</t>
  </si>
  <si>
    <t>S8</t>
  </si>
  <si>
    <t>32047</t>
  </si>
  <si>
    <t>Allroad (2001-2005)</t>
  </si>
  <si>
    <t>32048</t>
  </si>
  <si>
    <t>A3</t>
  </si>
  <si>
    <t>32049</t>
  </si>
  <si>
    <t>A5</t>
  </si>
  <si>
    <t>32050</t>
  </si>
  <si>
    <t>R8</t>
  </si>
  <si>
    <t>32051</t>
  </si>
  <si>
    <t>A7</t>
  </si>
  <si>
    <t>32052</t>
  </si>
  <si>
    <t>S5</t>
  </si>
  <si>
    <t>32054</t>
  </si>
  <si>
    <t>RS5</t>
  </si>
  <si>
    <t>32055</t>
  </si>
  <si>
    <t>S4 (2012 on)</t>
  </si>
  <si>
    <t>32056</t>
  </si>
  <si>
    <t>S6 (2013 on)</t>
  </si>
  <si>
    <t>32057</t>
  </si>
  <si>
    <t>S7</t>
  </si>
  <si>
    <t>32058</t>
  </si>
  <si>
    <t>RS7</t>
  </si>
  <si>
    <t>32059</t>
  </si>
  <si>
    <t>S3</t>
  </si>
  <si>
    <t>32398</t>
  </si>
  <si>
    <t>32399</t>
  </si>
  <si>
    <t>32401</t>
  </si>
  <si>
    <t>Q7</t>
  </si>
  <si>
    <t>32402</t>
  </si>
  <si>
    <t>Q5</t>
  </si>
  <si>
    <t>32403</t>
  </si>
  <si>
    <t>Allroad (2013 on)</t>
  </si>
  <si>
    <t>32404</t>
  </si>
  <si>
    <t>SQ5</t>
  </si>
  <si>
    <t>32405</t>
  </si>
  <si>
    <t>Q3</t>
  </si>
  <si>
    <t>32499</t>
  </si>
  <si>
    <t>32999</t>
  </si>
  <si>
    <t xml:space="preserve">Unknown (AUDI) </t>
  </si>
  <si>
    <t>33031</t>
  </si>
  <si>
    <t>Marina</t>
  </si>
  <si>
    <t>33032</t>
  </si>
  <si>
    <t>America</t>
  </si>
  <si>
    <t>33033</t>
  </si>
  <si>
    <t>Healey Sprite</t>
  </si>
  <si>
    <t>33034</t>
  </si>
  <si>
    <t>Healey 100/3000</t>
  </si>
  <si>
    <t>33035</t>
  </si>
  <si>
    <t>Mini/Mini Cooper/Mini Moke</t>
  </si>
  <si>
    <t>33398</t>
  </si>
  <si>
    <t>33399</t>
  </si>
  <si>
    <t>34031</t>
  </si>
  <si>
    <t>1600/1800/2000/2002</t>
  </si>
  <si>
    <t>34032</t>
  </si>
  <si>
    <t>Coupe (thru 1975)</t>
  </si>
  <si>
    <t>34033</t>
  </si>
  <si>
    <t>Bavarian Sedan</t>
  </si>
  <si>
    <t>34034</t>
  </si>
  <si>
    <t>3-series</t>
  </si>
  <si>
    <t>34035</t>
  </si>
  <si>
    <t>5-series</t>
  </si>
  <si>
    <t>34036</t>
  </si>
  <si>
    <t>6-series</t>
  </si>
  <si>
    <t>34037</t>
  </si>
  <si>
    <t>7-series</t>
  </si>
  <si>
    <t>34038</t>
  </si>
  <si>
    <t>8-series</t>
  </si>
  <si>
    <t>34039</t>
  </si>
  <si>
    <t>Z3</t>
  </si>
  <si>
    <t>34040</t>
  </si>
  <si>
    <t>Z8</t>
  </si>
  <si>
    <t>34041</t>
  </si>
  <si>
    <t>V5</t>
  </si>
  <si>
    <t>34042</t>
  </si>
  <si>
    <t>Z4</t>
  </si>
  <si>
    <t>34043</t>
  </si>
  <si>
    <t>1-Series</t>
  </si>
  <si>
    <t>34044</t>
  </si>
  <si>
    <t>X6</t>
  </si>
  <si>
    <t>34045</t>
  </si>
  <si>
    <t>i3</t>
  </si>
  <si>
    <t>34046</t>
  </si>
  <si>
    <t>i8</t>
  </si>
  <si>
    <t>34047</t>
  </si>
  <si>
    <t>4-Series</t>
  </si>
  <si>
    <t>34048</t>
  </si>
  <si>
    <t>2-Series</t>
  </si>
  <si>
    <t>34049</t>
  </si>
  <si>
    <t>X4</t>
  </si>
  <si>
    <t>34398</t>
  </si>
  <si>
    <t>34399</t>
  </si>
  <si>
    <t>34401</t>
  </si>
  <si>
    <t>X5</t>
  </si>
  <si>
    <t>34402</t>
  </si>
  <si>
    <t>X3</t>
  </si>
  <si>
    <t>34403</t>
  </si>
  <si>
    <t>X1</t>
  </si>
  <si>
    <t>34499</t>
  </si>
  <si>
    <t>34703</t>
  </si>
  <si>
    <t>125-349cc</t>
  </si>
  <si>
    <t>34705</t>
  </si>
  <si>
    <t>450-749cc</t>
  </si>
  <si>
    <t>34706</t>
  </si>
  <si>
    <t>750cc and over</t>
  </si>
  <si>
    <t>34709</t>
  </si>
  <si>
    <t xml:space="preserve">Unknown cc </t>
  </si>
  <si>
    <t>34999</t>
  </si>
  <si>
    <t xml:space="preserve">Unknown (BMW) </t>
  </si>
  <si>
    <t>35031</t>
  </si>
  <si>
    <t>F-10</t>
  </si>
  <si>
    <t>35032</t>
  </si>
  <si>
    <t>200SX/240SX</t>
  </si>
  <si>
    <t>35033</t>
  </si>
  <si>
    <t>210/1200/B210</t>
  </si>
  <si>
    <t>35034</t>
  </si>
  <si>
    <t>Z-car, ZX</t>
  </si>
  <si>
    <t>35035</t>
  </si>
  <si>
    <t>310</t>
  </si>
  <si>
    <t>35036</t>
  </si>
  <si>
    <t>510</t>
  </si>
  <si>
    <t>35037</t>
  </si>
  <si>
    <t>610</t>
  </si>
  <si>
    <t>35038</t>
  </si>
  <si>
    <t>710</t>
  </si>
  <si>
    <t>35039</t>
  </si>
  <si>
    <t>810/Maxima</t>
  </si>
  <si>
    <t>35040</t>
  </si>
  <si>
    <t>Roadster</t>
  </si>
  <si>
    <t>35041</t>
  </si>
  <si>
    <t>311/411</t>
  </si>
  <si>
    <t>35042</t>
  </si>
  <si>
    <t>Stanza</t>
  </si>
  <si>
    <t>35043</t>
  </si>
  <si>
    <t>Sentra</t>
  </si>
  <si>
    <t>35044</t>
  </si>
  <si>
    <t>Pulsar</t>
  </si>
  <si>
    <t>35045</t>
  </si>
  <si>
    <t>Micra</t>
  </si>
  <si>
    <t>35046</t>
  </si>
  <si>
    <t>NX 1600/2000</t>
  </si>
  <si>
    <t>35047</t>
  </si>
  <si>
    <t>Altima</t>
  </si>
  <si>
    <t>35048</t>
  </si>
  <si>
    <t>350Z/370Z</t>
  </si>
  <si>
    <t>35049</t>
  </si>
  <si>
    <t>Murano</t>
  </si>
  <si>
    <t>35050</t>
  </si>
  <si>
    <t>Versa</t>
  </si>
  <si>
    <t>35051</t>
  </si>
  <si>
    <t>Rogue</t>
  </si>
  <si>
    <t>35052</t>
  </si>
  <si>
    <t>Cube</t>
  </si>
  <si>
    <t>35053</t>
  </si>
  <si>
    <t>GT-R</t>
  </si>
  <si>
    <t>35055</t>
  </si>
  <si>
    <t>Leaf</t>
  </si>
  <si>
    <t>35398</t>
  </si>
  <si>
    <t xml:space="preserve">Other (automobile)  </t>
  </si>
  <si>
    <t>35399</t>
  </si>
  <si>
    <t xml:space="preserve">Unknown (automobile)  </t>
  </si>
  <si>
    <t>35401</t>
  </si>
  <si>
    <t>Pathfinder</t>
  </si>
  <si>
    <t>35402</t>
  </si>
  <si>
    <t>Xterra</t>
  </si>
  <si>
    <t>35403</t>
  </si>
  <si>
    <t>Juke</t>
  </si>
  <si>
    <t>35421</t>
  </si>
  <si>
    <t>Pathfinder Armada</t>
  </si>
  <si>
    <t>35441</t>
  </si>
  <si>
    <t>Van</t>
  </si>
  <si>
    <t>35442</t>
  </si>
  <si>
    <t>Axxess</t>
  </si>
  <si>
    <t>35443</t>
  </si>
  <si>
    <t>Quest</t>
  </si>
  <si>
    <t>35444</t>
  </si>
  <si>
    <t>Altra EV</t>
  </si>
  <si>
    <t>35446</t>
  </si>
  <si>
    <t>NV200/eNV200</t>
  </si>
  <si>
    <t>35461</t>
  </si>
  <si>
    <t xml:space="preserve">NV </t>
  </si>
  <si>
    <t>35471</t>
  </si>
  <si>
    <t>Datsun/Nissan Pickup (1955-1997)</t>
  </si>
  <si>
    <t>35472</t>
  </si>
  <si>
    <t>Frontier (1998 on)</t>
  </si>
  <si>
    <t>35473</t>
  </si>
  <si>
    <t>Titan (2004-2006)</t>
  </si>
  <si>
    <t>35481</t>
  </si>
  <si>
    <t>Titan (2007 on)</t>
  </si>
  <si>
    <t>35498</t>
  </si>
  <si>
    <t>35499</t>
  </si>
  <si>
    <t>35870</t>
  </si>
  <si>
    <t>35883</t>
  </si>
  <si>
    <t>35898</t>
  </si>
  <si>
    <t>35999</t>
  </si>
  <si>
    <t xml:space="preserve">Unknown (NISSAN/DATSUN) </t>
  </si>
  <si>
    <t>36031</t>
  </si>
  <si>
    <t>124 (Coupe/Sedan)</t>
  </si>
  <si>
    <t>36032</t>
  </si>
  <si>
    <t>124 Spider/Racer</t>
  </si>
  <si>
    <t>36033</t>
  </si>
  <si>
    <t>Brava/131</t>
  </si>
  <si>
    <t>36034</t>
  </si>
  <si>
    <t>850 (Coupe/Spider)</t>
  </si>
  <si>
    <t>36035</t>
  </si>
  <si>
    <t>128</t>
  </si>
  <si>
    <t>36036</t>
  </si>
  <si>
    <t>X-1/9</t>
  </si>
  <si>
    <t>36037</t>
  </si>
  <si>
    <t>Strada</t>
  </si>
  <si>
    <t>36038</t>
  </si>
  <si>
    <t xml:space="preserve">500/500c </t>
  </si>
  <si>
    <t>36398</t>
  </si>
  <si>
    <t>36399</t>
  </si>
  <si>
    <t>36401</t>
  </si>
  <si>
    <t>500L</t>
  </si>
  <si>
    <t>36402</t>
  </si>
  <si>
    <t>500X</t>
  </si>
  <si>
    <t>36499</t>
  </si>
  <si>
    <t>36882</t>
  </si>
  <si>
    <t>36883</t>
  </si>
  <si>
    <t>36890</t>
  </si>
  <si>
    <t>36898</t>
  </si>
  <si>
    <t>36998</t>
  </si>
  <si>
    <t>36999</t>
  </si>
  <si>
    <t xml:space="preserve">Unknown (FIAT) </t>
  </si>
  <si>
    <t>37031</t>
  </si>
  <si>
    <t>Civic/CRX, del Sol</t>
  </si>
  <si>
    <t>37032</t>
  </si>
  <si>
    <t>Accord</t>
  </si>
  <si>
    <t>37033</t>
  </si>
  <si>
    <t>Prelude</t>
  </si>
  <si>
    <t>37034</t>
  </si>
  <si>
    <t>37035</t>
  </si>
  <si>
    <t>S2000</t>
  </si>
  <si>
    <t>37036</t>
  </si>
  <si>
    <t>EV Plus</t>
  </si>
  <si>
    <t>37037</t>
  </si>
  <si>
    <t>Insight</t>
  </si>
  <si>
    <t>37038</t>
  </si>
  <si>
    <t>FCX</t>
  </si>
  <si>
    <t>37039</t>
  </si>
  <si>
    <t>Fit</t>
  </si>
  <si>
    <t>37041</t>
  </si>
  <si>
    <t>CR-Z</t>
  </si>
  <si>
    <t>37398</t>
  </si>
  <si>
    <t>37399</t>
  </si>
  <si>
    <t>37401</t>
  </si>
  <si>
    <t>Passport</t>
  </si>
  <si>
    <t>37402</t>
  </si>
  <si>
    <t>CR-V</t>
  </si>
  <si>
    <t>37403</t>
  </si>
  <si>
    <t>Element</t>
  </si>
  <si>
    <t>37421</t>
  </si>
  <si>
    <t>Pilot</t>
  </si>
  <si>
    <t>37441</t>
  </si>
  <si>
    <t>Odyssey</t>
  </si>
  <si>
    <t>37471</t>
  </si>
  <si>
    <t>Ridgeline</t>
  </si>
  <si>
    <t>37499</t>
  </si>
  <si>
    <t>37701</t>
  </si>
  <si>
    <t>Motorcycle 0-50 cc</t>
  </si>
  <si>
    <t>37702</t>
  </si>
  <si>
    <t>Motorcycle 51-124 cc</t>
  </si>
  <si>
    <t>37703</t>
  </si>
  <si>
    <t>Motorcycle 125-349 cc</t>
  </si>
  <si>
    <t>37704</t>
  </si>
  <si>
    <t>Motorcycle 350-449 cc</t>
  </si>
  <si>
    <t>37705</t>
  </si>
  <si>
    <t>Motorcycle 450-749 cc</t>
  </si>
  <si>
    <t>37706</t>
  </si>
  <si>
    <t>Motorcycle 750 cc or greater</t>
  </si>
  <si>
    <t>37709</t>
  </si>
  <si>
    <t>37732</t>
  </si>
  <si>
    <t>ATV 51-124cc</t>
  </si>
  <si>
    <t>37733</t>
  </si>
  <si>
    <t>ATV 125-349cc</t>
  </si>
  <si>
    <t>37734</t>
  </si>
  <si>
    <t>ATV 350cc or greater</t>
  </si>
  <si>
    <t>37739</t>
  </si>
  <si>
    <t>37998</t>
  </si>
  <si>
    <t>37999</t>
  </si>
  <si>
    <t xml:space="preserve">Unknown (HONDA) </t>
  </si>
  <si>
    <t>38031</t>
  </si>
  <si>
    <t>I-Mark</t>
  </si>
  <si>
    <t>38032</t>
  </si>
  <si>
    <t>Impulse</t>
  </si>
  <si>
    <t>38033</t>
  </si>
  <si>
    <t>Stylus</t>
  </si>
  <si>
    <t>38398</t>
  </si>
  <si>
    <t>38399</t>
  </si>
  <si>
    <t>38401</t>
  </si>
  <si>
    <t>Trooper/Trooper II</t>
  </si>
  <si>
    <t>38402</t>
  </si>
  <si>
    <t>Rodeo/Rodeo Sport</t>
  </si>
  <si>
    <t>38403</t>
  </si>
  <si>
    <t>Amigo</t>
  </si>
  <si>
    <t>38404</t>
  </si>
  <si>
    <t>VehiCROSS</t>
  </si>
  <si>
    <t>38405</t>
  </si>
  <si>
    <t>Axiom</t>
  </si>
  <si>
    <t>38421</t>
  </si>
  <si>
    <t>Ascender</t>
  </si>
  <si>
    <t>38441</t>
  </si>
  <si>
    <t>Oasis</t>
  </si>
  <si>
    <t>38471</t>
  </si>
  <si>
    <t>P'up (pickup)</t>
  </si>
  <si>
    <t>38472</t>
  </si>
  <si>
    <t>Hombre</t>
  </si>
  <si>
    <t>38473</t>
  </si>
  <si>
    <t>i-280/i-290</t>
  </si>
  <si>
    <t>38474</t>
  </si>
  <si>
    <t>i-350/i-370</t>
  </si>
  <si>
    <t>38498</t>
  </si>
  <si>
    <t>38499</t>
  </si>
  <si>
    <t>38881</t>
  </si>
  <si>
    <t>38882</t>
  </si>
  <si>
    <t>38883</t>
  </si>
  <si>
    <t>38884</t>
  </si>
  <si>
    <t>38890</t>
  </si>
  <si>
    <t xml:space="preserve">Medium/Heavy Â­ COE  entry position  unknown </t>
  </si>
  <si>
    <t>38898</t>
  </si>
  <si>
    <t>38981</t>
  </si>
  <si>
    <t>38982</t>
  </si>
  <si>
    <t>Bus: Front engine, Flat front</t>
  </si>
  <si>
    <t>38983</t>
  </si>
  <si>
    <t>Bus: Rear engine Flat front</t>
  </si>
  <si>
    <t>38988</t>
  </si>
  <si>
    <t>38989</t>
  </si>
  <si>
    <t xml:space="preserve">Unknown (bus)  </t>
  </si>
  <si>
    <t>38999</t>
  </si>
  <si>
    <t xml:space="preserve">Unknown (ISUZU) </t>
  </si>
  <si>
    <t>39031</t>
  </si>
  <si>
    <t>XJ-S, XK8 Coupe</t>
  </si>
  <si>
    <t>39032</t>
  </si>
  <si>
    <t>XJ/XJL/XJ6/12/XJR/XJ8/XJ8L Sedan/Coupe</t>
  </si>
  <si>
    <t>39033</t>
  </si>
  <si>
    <t>XK-E</t>
  </si>
  <si>
    <t>39034</t>
  </si>
  <si>
    <t>S-Type</t>
  </si>
  <si>
    <t>39035</t>
  </si>
  <si>
    <t>XKR/XK</t>
  </si>
  <si>
    <t>39036</t>
  </si>
  <si>
    <t>X-Type</t>
  </si>
  <si>
    <t>39037</t>
  </si>
  <si>
    <t>XF/XF-R</t>
  </si>
  <si>
    <t>39038</t>
  </si>
  <si>
    <t>F-Type</t>
  </si>
  <si>
    <t>39398</t>
  </si>
  <si>
    <t>39399</t>
  </si>
  <si>
    <t>40031</t>
  </si>
  <si>
    <t>Beta Sedan â€“ HPE</t>
  </si>
  <si>
    <t>40032</t>
  </si>
  <si>
    <t>Zagato</t>
  </si>
  <si>
    <t>40033</t>
  </si>
  <si>
    <t>Scorpion</t>
  </si>
  <si>
    <t>40398</t>
  </si>
  <si>
    <t>40399</t>
  </si>
  <si>
    <t>41031</t>
  </si>
  <si>
    <t>RX2</t>
  </si>
  <si>
    <t>41032</t>
  </si>
  <si>
    <t>RX3</t>
  </si>
  <si>
    <t>41033</t>
  </si>
  <si>
    <t>RX4</t>
  </si>
  <si>
    <t>41034</t>
  </si>
  <si>
    <t>RX7</t>
  </si>
  <si>
    <t>41035</t>
  </si>
  <si>
    <t>323/GLC/ProtÃ©gÃ©/ ProtÃ©gÃ© 5</t>
  </si>
  <si>
    <t>41036</t>
  </si>
  <si>
    <t>Cosmo</t>
  </si>
  <si>
    <t>41037</t>
  </si>
  <si>
    <t>626</t>
  </si>
  <si>
    <t>41038</t>
  </si>
  <si>
    <t>808</t>
  </si>
  <si>
    <t>41039</t>
  </si>
  <si>
    <t>Mizer</t>
  </si>
  <si>
    <t>41040</t>
  </si>
  <si>
    <t>R-100</t>
  </si>
  <si>
    <t>41041</t>
  </si>
  <si>
    <t>616/618</t>
  </si>
  <si>
    <t>41042</t>
  </si>
  <si>
    <t>1800</t>
  </si>
  <si>
    <t>41043</t>
  </si>
  <si>
    <t>929</t>
  </si>
  <si>
    <t>41044</t>
  </si>
  <si>
    <t>MX-6</t>
  </si>
  <si>
    <t>41045</t>
  </si>
  <si>
    <t>Miata/MX-5</t>
  </si>
  <si>
    <t>41046</t>
  </si>
  <si>
    <t>MX-3</t>
  </si>
  <si>
    <t>41047</t>
  </si>
  <si>
    <t>Millenia</t>
  </si>
  <si>
    <t>41048</t>
  </si>
  <si>
    <t>MP3</t>
  </si>
  <si>
    <t>41049</t>
  </si>
  <si>
    <t>RX-8</t>
  </si>
  <si>
    <t>41050</t>
  </si>
  <si>
    <t>Mazda6</t>
  </si>
  <si>
    <t>41051</t>
  </si>
  <si>
    <t>Mazda3</t>
  </si>
  <si>
    <t>41052</t>
  </si>
  <si>
    <t>Mazda5</t>
  </si>
  <si>
    <t>41053</t>
  </si>
  <si>
    <t>CX-7</t>
  </si>
  <si>
    <t>41054</t>
  </si>
  <si>
    <t>CX-9 (2007-2012)</t>
  </si>
  <si>
    <t>41055</t>
  </si>
  <si>
    <t>Mazda2</t>
  </si>
  <si>
    <t>41398</t>
  </si>
  <si>
    <t>41399</t>
  </si>
  <si>
    <t>41401</t>
  </si>
  <si>
    <t>Navajo</t>
  </si>
  <si>
    <t>41402</t>
  </si>
  <si>
    <t>Tribute</t>
  </si>
  <si>
    <t>41403</t>
  </si>
  <si>
    <t>CX-5</t>
  </si>
  <si>
    <t>41421</t>
  </si>
  <si>
    <t>CX-9 (2013 on)</t>
  </si>
  <si>
    <t>41441</t>
  </si>
  <si>
    <t>MPV</t>
  </si>
  <si>
    <t>41471</t>
  </si>
  <si>
    <t>Pickup/ B-Series Pickup</t>
  </si>
  <si>
    <t>41498</t>
  </si>
  <si>
    <t>41499</t>
  </si>
  <si>
    <t>41999</t>
  </si>
  <si>
    <t xml:space="preserve">Unknown (MAZDA) </t>
  </si>
  <si>
    <t>42031</t>
  </si>
  <si>
    <t>200/220/230/240/ 250/260/280/300/ 320/420</t>
  </si>
  <si>
    <t>42032</t>
  </si>
  <si>
    <t>230/280 SL</t>
  </si>
  <si>
    <t>42033</t>
  </si>
  <si>
    <t>300/350/380/450/500/ 560 SL</t>
  </si>
  <si>
    <t>42034</t>
  </si>
  <si>
    <t>350/380/420/450/560 SLC</t>
  </si>
  <si>
    <t>42035</t>
  </si>
  <si>
    <t>280/300 SEL</t>
  </si>
  <si>
    <t>42036</t>
  </si>
  <si>
    <t>300/380/420/450/500/560/SEL &amp; 500/560, 600 SEC &amp; 300/350 SDL</t>
  </si>
  <si>
    <t>42037</t>
  </si>
  <si>
    <t>300/380/450 SE</t>
  </si>
  <si>
    <t>42038</t>
  </si>
  <si>
    <t>600, 6.9 Sedan</t>
  </si>
  <si>
    <t>42039</t>
  </si>
  <si>
    <t>190</t>
  </si>
  <si>
    <t>42040</t>
  </si>
  <si>
    <t>42041</t>
  </si>
  <si>
    <t>400/500E</t>
  </si>
  <si>
    <t>42042</t>
  </si>
  <si>
    <t>C Class (1994 on)</t>
  </si>
  <si>
    <t>42043</t>
  </si>
  <si>
    <t>S Class (1995 on)</t>
  </si>
  <si>
    <t>42044</t>
  </si>
  <si>
    <t>SL Class (1995 on)</t>
  </si>
  <si>
    <t>42045</t>
  </si>
  <si>
    <t>SLK</t>
  </si>
  <si>
    <t>42046</t>
  </si>
  <si>
    <t>CL Class</t>
  </si>
  <si>
    <t>42047</t>
  </si>
  <si>
    <t>CLK</t>
  </si>
  <si>
    <t>42048</t>
  </si>
  <si>
    <t>E Class (1997 on)</t>
  </si>
  <si>
    <t>42049</t>
  </si>
  <si>
    <t>SLR</t>
  </si>
  <si>
    <t>42050</t>
  </si>
  <si>
    <t>R Class</t>
  </si>
  <si>
    <t>42051</t>
  </si>
  <si>
    <t>CLS Class</t>
  </si>
  <si>
    <t>42052</t>
  </si>
  <si>
    <t>SLS Class</t>
  </si>
  <si>
    <t>42053</t>
  </si>
  <si>
    <t>B Class</t>
  </si>
  <si>
    <t>42054</t>
  </si>
  <si>
    <t>CLA Class</t>
  </si>
  <si>
    <t>42055</t>
  </si>
  <si>
    <t>GLA Class</t>
  </si>
  <si>
    <t>42056</t>
  </si>
  <si>
    <t>AMG GT S</t>
  </si>
  <si>
    <t>42398</t>
  </si>
  <si>
    <t>42399</t>
  </si>
  <si>
    <t>42401</t>
  </si>
  <si>
    <t>M/ML Class</t>
  </si>
  <si>
    <t>42402</t>
  </si>
  <si>
    <t>G Class</t>
  </si>
  <si>
    <t>42403</t>
  </si>
  <si>
    <t>GLK Class</t>
  </si>
  <si>
    <t>42421</t>
  </si>
  <si>
    <t>GL Class</t>
  </si>
  <si>
    <t>42461</t>
  </si>
  <si>
    <t>42470</t>
  </si>
  <si>
    <t>42498</t>
  </si>
  <si>
    <t>42499</t>
  </si>
  <si>
    <t>42870</t>
  </si>
  <si>
    <t>42881</t>
  </si>
  <si>
    <t>42882</t>
  </si>
  <si>
    <t>42883</t>
  </si>
  <si>
    <t>42884</t>
  </si>
  <si>
    <t>42890</t>
  </si>
  <si>
    <t>42898</t>
  </si>
  <si>
    <t>42981</t>
  </si>
  <si>
    <t>42988</t>
  </si>
  <si>
    <t>42989</t>
  </si>
  <si>
    <t>Unknown (bus)</t>
  </si>
  <si>
    <t>42998</t>
  </si>
  <si>
    <t>42999</t>
  </si>
  <si>
    <t xml:space="preserve">Unknown (MERCEDES BENZ)  </t>
  </si>
  <si>
    <t>43031</t>
  </si>
  <si>
    <t>Midget</t>
  </si>
  <si>
    <t>43032</t>
  </si>
  <si>
    <t>MGB (MK I/II/IV, 600 Limited, V-8%)</t>
  </si>
  <si>
    <t>43033</t>
  </si>
  <si>
    <t>MGB (GT,MK III)</t>
  </si>
  <si>
    <t>43034</t>
  </si>
  <si>
    <t>MGA</t>
  </si>
  <si>
    <t>43035</t>
  </si>
  <si>
    <t>TA/TC/TD/TF</t>
  </si>
  <si>
    <t>43036</t>
  </si>
  <si>
    <t>MGC</t>
  </si>
  <si>
    <t>43037</t>
  </si>
  <si>
    <t>Magnette/Sports Sedans</t>
  </si>
  <si>
    <t>43398</t>
  </si>
  <si>
    <t>43399</t>
  </si>
  <si>
    <t>44031</t>
  </si>
  <si>
    <t>304</t>
  </si>
  <si>
    <t>44032</t>
  </si>
  <si>
    <t>403</t>
  </si>
  <si>
    <t>44033</t>
  </si>
  <si>
    <t>404</t>
  </si>
  <si>
    <t>44034</t>
  </si>
  <si>
    <t>504/505</t>
  </si>
  <si>
    <t>44035</t>
  </si>
  <si>
    <t>604</t>
  </si>
  <si>
    <t>44036</t>
  </si>
  <si>
    <t>405</t>
  </si>
  <si>
    <t>44398</t>
  </si>
  <si>
    <t>44399</t>
  </si>
  <si>
    <t>44701</t>
  </si>
  <si>
    <t>0-50 cc</t>
  </si>
  <si>
    <t>44702</t>
  </si>
  <si>
    <t>51-124cc</t>
  </si>
  <si>
    <t>44709</t>
  </si>
  <si>
    <t>Unknown cc</t>
  </si>
  <si>
    <t>44999</t>
  </si>
  <si>
    <t>Unknown (PEUGEOT)</t>
  </si>
  <si>
    <t>45031</t>
  </si>
  <si>
    <t>911/996</t>
  </si>
  <si>
    <t>45032</t>
  </si>
  <si>
    <t>912</t>
  </si>
  <si>
    <t>45033</t>
  </si>
  <si>
    <t>914</t>
  </si>
  <si>
    <t>45034</t>
  </si>
  <si>
    <t>924</t>
  </si>
  <si>
    <t>45035</t>
  </si>
  <si>
    <t>928</t>
  </si>
  <si>
    <t>45036</t>
  </si>
  <si>
    <t>930</t>
  </si>
  <si>
    <t>45037</t>
  </si>
  <si>
    <t>944</t>
  </si>
  <si>
    <t>45038</t>
  </si>
  <si>
    <t>959</t>
  </si>
  <si>
    <t>45039</t>
  </si>
  <si>
    <t>968</t>
  </si>
  <si>
    <t>45040</t>
  </si>
  <si>
    <t>986/Boxster</t>
  </si>
  <si>
    <t>45041</t>
  </si>
  <si>
    <t>Cayman</t>
  </si>
  <si>
    <t>45042</t>
  </si>
  <si>
    <t>Panamera</t>
  </si>
  <si>
    <t>45043</t>
  </si>
  <si>
    <t>918</t>
  </si>
  <si>
    <t>45398</t>
  </si>
  <si>
    <t>45399</t>
  </si>
  <si>
    <t>45401</t>
  </si>
  <si>
    <t>Macan</t>
  </si>
  <si>
    <t>45421</t>
  </si>
  <si>
    <t>Cayenne</t>
  </si>
  <si>
    <t>45499</t>
  </si>
  <si>
    <t>45999</t>
  </si>
  <si>
    <t xml:space="preserve">Unknown (PORSCHE) </t>
  </si>
  <si>
    <t>46031</t>
  </si>
  <si>
    <t>LeCar</t>
  </si>
  <si>
    <t>46032</t>
  </si>
  <si>
    <t>Dauphine/10/R-8 Caravelle</t>
  </si>
  <si>
    <t>46033</t>
  </si>
  <si>
    <t>46034</t>
  </si>
  <si>
    <t>46035</t>
  </si>
  <si>
    <t>46036</t>
  </si>
  <si>
    <t>46037</t>
  </si>
  <si>
    <t>18i/Sportwagon</t>
  </si>
  <si>
    <t>46038</t>
  </si>
  <si>
    <t>Fuego</t>
  </si>
  <si>
    <t>46039</t>
  </si>
  <si>
    <t>Alliance/Encore GTA, Convertible</t>
  </si>
  <si>
    <t>46041</t>
  </si>
  <si>
    <t>Alpine</t>
  </si>
  <si>
    <t>46044</t>
  </si>
  <si>
    <t>46045</t>
  </si>
  <si>
    <t>46398</t>
  </si>
  <si>
    <t>46399</t>
  </si>
  <si>
    <t>47031</t>
  </si>
  <si>
    <t>99/99E/900</t>
  </si>
  <si>
    <t>47032</t>
  </si>
  <si>
    <t>Sonnett</t>
  </si>
  <si>
    <t>47033</t>
  </si>
  <si>
    <t>95/96</t>
  </si>
  <si>
    <t>47034</t>
  </si>
  <si>
    <t>9000</t>
  </si>
  <si>
    <t>47035</t>
  </si>
  <si>
    <t>9-3/9-3x</t>
  </si>
  <si>
    <t>47036</t>
  </si>
  <si>
    <t>9-5</t>
  </si>
  <si>
    <t>47037</t>
  </si>
  <si>
    <t>9-2x</t>
  </si>
  <si>
    <t>47038</t>
  </si>
  <si>
    <t>9-4x</t>
  </si>
  <si>
    <t>47398</t>
  </si>
  <si>
    <t>47399</t>
  </si>
  <si>
    <t>47401</t>
  </si>
  <si>
    <t>9-7x</t>
  </si>
  <si>
    <t>47999</t>
  </si>
  <si>
    <t xml:space="preserve">Unknown (SAAB) </t>
  </si>
  <si>
    <t>48031</t>
  </si>
  <si>
    <t>Loyale (1990 on)/DL/ FE/G/GF/GL/GLF/ STD</t>
  </si>
  <si>
    <t>48032</t>
  </si>
  <si>
    <t>Star</t>
  </si>
  <si>
    <t>48033</t>
  </si>
  <si>
    <t>360</t>
  </si>
  <si>
    <t>48034</t>
  </si>
  <si>
    <t>Legacy/Outback (thru 2003)</t>
  </si>
  <si>
    <t>48035</t>
  </si>
  <si>
    <t>XT/XT6</t>
  </si>
  <si>
    <t>48036</t>
  </si>
  <si>
    <t>Justy</t>
  </si>
  <si>
    <t>48037</t>
  </si>
  <si>
    <t>SVX</t>
  </si>
  <si>
    <t>48038</t>
  </si>
  <si>
    <t>Impreza</t>
  </si>
  <si>
    <t>48039</t>
  </si>
  <si>
    <t>RX</t>
  </si>
  <si>
    <t>48043</t>
  </si>
  <si>
    <t>Brat</t>
  </si>
  <si>
    <t>48044</t>
  </si>
  <si>
    <t>Baja</t>
  </si>
  <si>
    <t>48045</t>
  </si>
  <si>
    <t>Outback (2003 on)</t>
  </si>
  <si>
    <t>48046</t>
  </si>
  <si>
    <t>BRZ</t>
  </si>
  <si>
    <t>48047</t>
  </si>
  <si>
    <t>WRX (2015 on)</t>
  </si>
  <si>
    <t>48398</t>
  </si>
  <si>
    <t>48399</t>
  </si>
  <si>
    <t>48401</t>
  </si>
  <si>
    <t>Forester</t>
  </si>
  <si>
    <t>48402</t>
  </si>
  <si>
    <t>B9 Tribeca</t>
  </si>
  <si>
    <t>48403</t>
  </si>
  <si>
    <t>XV Crosstrek</t>
  </si>
  <si>
    <t>48499</t>
  </si>
  <si>
    <t>48999</t>
  </si>
  <si>
    <t xml:space="preserve">Unknown (SUBARU) </t>
  </si>
  <si>
    <t>49031</t>
  </si>
  <si>
    <t>Corona</t>
  </si>
  <si>
    <t>49032</t>
  </si>
  <si>
    <t>Corolla</t>
  </si>
  <si>
    <t>49033</t>
  </si>
  <si>
    <t>Celica</t>
  </si>
  <si>
    <t>49034</t>
  </si>
  <si>
    <t>Supra</t>
  </si>
  <si>
    <t>49035</t>
  </si>
  <si>
    <t>Cressida</t>
  </si>
  <si>
    <t>49036</t>
  </si>
  <si>
    <t>Crown</t>
  </si>
  <si>
    <t>49037</t>
  </si>
  <si>
    <t>Carina</t>
  </si>
  <si>
    <t>49038</t>
  </si>
  <si>
    <t>Tercel</t>
  </si>
  <si>
    <t>49039</t>
  </si>
  <si>
    <t>Starlet</t>
  </si>
  <si>
    <t>49040</t>
  </si>
  <si>
    <t>Camry</t>
  </si>
  <si>
    <t>49041</t>
  </si>
  <si>
    <t>MR-2/MR Spyder</t>
  </si>
  <si>
    <t>49042</t>
  </si>
  <si>
    <t>Paseo</t>
  </si>
  <si>
    <t>49043</t>
  </si>
  <si>
    <t>Avalon</t>
  </si>
  <si>
    <t>49044</t>
  </si>
  <si>
    <t>Solara</t>
  </si>
  <si>
    <t>49045</t>
  </si>
  <si>
    <t>ECHO</t>
  </si>
  <si>
    <t>49046</t>
  </si>
  <si>
    <t>Prius</t>
  </si>
  <si>
    <t>49047</t>
  </si>
  <si>
    <t>Matrix</t>
  </si>
  <si>
    <t>49048</t>
  </si>
  <si>
    <t>Scion xA</t>
  </si>
  <si>
    <t>49049</t>
  </si>
  <si>
    <t>Scion xB (2004-2011)</t>
  </si>
  <si>
    <t>49050</t>
  </si>
  <si>
    <t>Scion tC (2005-2011)</t>
  </si>
  <si>
    <t>49051</t>
  </si>
  <si>
    <t>Yaris</t>
  </si>
  <si>
    <t>49052</t>
  </si>
  <si>
    <t>Scion xD (2007-2011)</t>
  </si>
  <si>
    <t>49053</t>
  </si>
  <si>
    <t>Venza</t>
  </si>
  <si>
    <t>49054</t>
  </si>
  <si>
    <t>Scion iQ (2010-2011)</t>
  </si>
  <si>
    <t>49055</t>
  </si>
  <si>
    <t>Mirai</t>
  </si>
  <si>
    <t>49398</t>
  </si>
  <si>
    <t>49399</t>
  </si>
  <si>
    <t>49401</t>
  </si>
  <si>
    <t>4-Runner</t>
  </si>
  <si>
    <t>49402</t>
  </si>
  <si>
    <t>RAV4</t>
  </si>
  <si>
    <t>49403</t>
  </si>
  <si>
    <t>Highlander</t>
  </si>
  <si>
    <t>49404</t>
  </si>
  <si>
    <t>FJ Cruiser</t>
  </si>
  <si>
    <t>49421</t>
  </si>
  <si>
    <t>Land Cruiser</t>
  </si>
  <si>
    <t>49422</t>
  </si>
  <si>
    <t>Sequoia</t>
  </si>
  <si>
    <t>49441</t>
  </si>
  <si>
    <t>Minivan (1984-1990)/ Previa (1991 on)</t>
  </si>
  <si>
    <t>49442</t>
  </si>
  <si>
    <t>Sienna</t>
  </si>
  <si>
    <t>49471</t>
  </si>
  <si>
    <t>Pickup</t>
  </si>
  <si>
    <t>49472</t>
  </si>
  <si>
    <t>Tacoma</t>
  </si>
  <si>
    <t>49481</t>
  </si>
  <si>
    <t>T-100</t>
  </si>
  <si>
    <t>49482</t>
  </si>
  <si>
    <t>Tundra</t>
  </si>
  <si>
    <t>49498</t>
  </si>
  <si>
    <t>49499</t>
  </si>
  <si>
    <t>49999</t>
  </si>
  <si>
    <t xml:space="preserve">Unknown (TOYOTA) </t>
  </si>
  <si>
    <t>50031</t>
  </si>
  <si>
    <t>Spitfire</t>
  </si>
  <si>
    <t>50032</t>
  </si>
  <si>
    <t>GT-6</t>
  </si>
  <si>
    <t>50033</t>
  </si>
  <si>
    <t>TR4</t>
  </si>
  <si>
    <t>50034</t>
  </si>
  <si>
    <t>TR6</t>
  </si>
  <si>
    <t>50035</t>
  </si>
  <si>
    <t>TR7/TR8</t>
  </si>
  <si>
    <t>50036</t>
  </si>
  <si>
    <t>Herald</t>
  </si>
  <si>
    <t>50037</t>
  </si>
  <si>
    <t>Stag</t>
  </si>
  <si>
    <t>50398</t>
  </si>
  <si>
    <t>50399</t>
  </si>
  <si>
    <t>50701</t>
  </si>
  <si>
    <t>0-50cc</t>
  </si>
  <si>
    <t>50702</t>
  </si>
  <si>
    <t>50703</t>
  </si>
  <si>
    <t>50704</t>
  </si>
  <si>
    <t>350-449cc</t>
  </si>
  <si>
    <t>50705</t>
  </si>
  <si>
    <t>50706</t>
  </si>
  <si>
    <t>750cc or greater</t>
  </si>
  <si>
    <t>50709</t>
  </si>
  <si>
    <t>50799</t>
  </si>
  <si>
    <t xml:space="preserve">Unknown (motored cycle) </t>
  </si>
  <si>
    <t>50999</t>
  </si>
  <si>
    <t xml:space="preserve">Unknown (TRIUMPH) </t>
  </si>
  <si>
    <t>51031</t>
  </si>
  <si>
    <t>122</t>
  </si>
  <si>
    <t>51032</t>
  </si>
  <si>
    <t xml:space="preserve">140/142/144/145 </t>
  </si>
  <si>
    <t>51033</t>
  </si>
  <si>
    <t>164</t>
  </si>
  <si>
    <t>51034</t>
  </si>
  <si>
    <t>240 series/DL/GL/GLT</t>
  </si>
  <si>
    <t>51035</t>
  </si>
  <si>
    <t>260 series/GLE</t>
  </si>
  <si>
    <t>51036</t>
  </si>
  <si>
    <t>51037</t>
  </si>
  <si>
    <t>PV544</t>
  </si>
  <si>
    <t>51038</t>
  </si>
  <si>
    <t>760/780</t>
  </si>
  <si>
    <t>51039</t>
  </si>
  <si>
    <t>740</t>
  </si>
  <si>
    <t>51040</t>
  </si>
  <si>
    <t>940</t>
  </si>
  <si>
    <t>51041</t>
  </si>
  <si>
    <t>960</t>
  </si>
  <si>
    <t>51042</t>
  </si>
  <si>
    <t>850</t>
  </si>
  <si>
    <t>51043</t>
  </si>
  <si>
    <t>70 Series (1998-2013)</t>
  </si>
  <si>
    <t>51044</t>
  </si>
  <si>
    <t>90 Series</t>
  </si>
  <si>
    <t>51045</t>
  </si>
  <si>
    <t>80 Series</t>
  </si>
  <si>
    <t>51046</t>
  </si>
  <si>
    <t>40 Series</t>
  </si>
  <si>
    <t>51047</t>
  </si>
  <si>
    <t>60 Series</t>
  </si>
  <si>
    <t>51048</t>
  </si>
  <si>
    <t>V50</t>
  </si>
  <si>
    <t>51049</t>
  </si>
  <si>
    <t>C30</t>
  </si>
  <si>
    <t>51050</t>
  </si>
  <si>
    <t>XC60</t>
  </si>
  <si>
    <t>51051</t>
  </si>
  <si>
    <t>V60</t>
  </si>
  <si>
    <t>51398</t>
  </si>
  <si>
    <t>51399</t>
  </si>
  <si>
    <t>51401</t>
  </si>
  <si>
    <t>XC90</t>
  </si>
  <si>
    <t>51402</t>
  </si>
  <si>
    <t>XC70 (2014 on)</t>
  </si>
  <si>
    <t>51499</t>
  </si>
  <si>
    <t>51881</t>
  </si>
  <si>
    <t>51882</t>
  </si>
  <si>
    <t>51883</t>
  </si>
  <si>
    <t>51884</t>
  </si>
  <si>
    <t>51890</t>
  </si>
  <si>
    <t>51898</t>
  </si>
  <si>
    <t>51981</t>
  </si>
  <si>
    <t>51983</t>
  </si>
  <si>
    <t>51988</t>
  </si>
  <si>
    <t>51989</t>
  </si>
  <si>
    <t>51998</t>
  </si>
  <si>
    <t xml:space="preserve">Other (Vehicle) </t>
  </si>
  <si>
    <t>51999</t>
  </si>
  <si>
    <t xml:space="preserve">Unknown (VOLVO) </t>
  </si>
  <si>
    <t>52031</t>
  </si>
  <si>
    <t>Starion</t>
  </si>
  <si>
    <t>52032</t>
  </si>
  <si>
    <t>Tredia</t>
  </si>
  <si>
    <t>52033</t>
  </si>
  <si>
    <t>Cordia</t>
  </si>
  <si>
    <t>52034</t>
  </si>
  <si>
    <t>Galant</t>
  </si>
  <si>
    <t>52035</t>
  </si>
  <si>
    <t>Mirage (1985-2002)</t>
  </si>
  <si>
    <t>52036</t>
  </si>
  <si>
    <t>Precis</t>
  </si>
  <si>
    <t>52037</t>
  </si>
  <si>
    <t>Eclipse</t>
  </si>
  <si>
    <t>52038</t>
  </si>
  <si>
    <t>Sigma</t>
  </si>
  <si>
    <t>52039</t>
  </si>
  <si>
    <t>3000 GT</t>
  </si>
  <si>
    <t>52040</t>
  </si>
  <si>
    <t>Diamante</t>
  </si>
  <si>
    <t>52041</t>
  </si>
  <si>
    <t>iMEV</t>
  </si>
  <si>
    <t>52045</t>
  </si>
  <si>
    <t>Expo Wagon</t>
  </si>
  <si>
    <t>52046</t>
  </si>
  <si>
    <t>Lancer/Lancer Sportback/Lancer Evolution</t>
  </si>
  <si>
    <t>52047</t>
  </si>
  <si>
    <t>Outlander</t>
  </si>
  <si>
    <t>52048</t>
  </si>
  <si>
    <t>Mirage (2014 on)</t>
  </si>
  <si>
    <t>52398</t>
  </si>
  <si>
    <t>52399</t>
  </si>
  <si>
    <t>52401</t>
  </si>
  <si>
    <t>Montero/MonteroSport</t>
  </si>
  <si>
    <t>52402</t>
  </si>
  <si>
    <t>Endeavor</t>
  </si>
  <si>
    <t>52441</t>
  </si>
  <si>
    <t>Mini-Van</t>
  </si>
  <si>
    <t>52471</t>
  </si>
  <si>
    <t>52472</t>
  </si>
  <si>
    <t>Raider</t>
  </si>
  <si>
    <t>52498</t>
  </si>
  <si>
    <t>52499</t>
  </si>
  <si>
    <t>52882</t>
  </si>
  <si>
    <t>52898</t>
  </si>
  <si>
    <t>52981</t>
  </si>
  <si>
    <t>52982</t>
  </si>
  <si>
    <t>52983</t>
  </si>
  <si>
    <t>52988</t>
  </si>
  <si>
    <t>52989</t>
  </si>
  <si>
    <t>52999</t>
  </si>
  <si>
    <t xml:space="preserve">Unknown (MITSUBISHI) </t>
  </si>
  <si>
    <t>53031</t>
  </si>
  <si>
    <t>Swift/SA310</t>
  </si>
  <si>
    <t>53032</t>
  </si>
  <si>
    <t>Esteem</t>
  </si>
  <si>
    <t>53033</t>
  </si>
  <si>
    <t>Aerio</t>
  </si>
  <si>
    <t>53034</t>
  </si>
  <si>
    <t>Forenza</t>
  </si>
  <si>
    <t>53035</t>
  </si>
  <si>
    <t>Verona</t>
  </si>
  <si>
    <t>53036</t>
  </si>
  <si>
    <t>Reno</t>
  </si>
  <si>
    <t>53040</t>
  </si>
  <si>
    <t>SX4/SX4 Crossover</t>
  </si>
  <si>
    <t>53041</t>
  </si>
  <si>
    <t>Kizashi</t>
  </si>
  <si>
    <t>53398</t>
  </si>
  <si>
    <t>53399</t>
  </si>
  <si>
    <t>53401</t>
  </si>
  <si>
    <t>Samurai</t>
  </si>
  <si>
    <t>53402</t>
  </si>
  <si>
    <t>Sidekick/Vitara/ Vitara V6</t>
  </si>
  <si>
    <t>53403</t>
  </si>
  <si>
    <t>X-90</t>
  </si>
  <si>
    <t>53404</t>
  </si>
  <si>
    <t>Grand Vitara (2003 on)</t>
  </si>
  <si>
    <t>53405</t>
  </si>
  <si>
    <t>XL-7 (2003 on)</t>
  </si>
  <si>
    <t>53481</t>
  </si>
  <si>
    <t>Equator</t>
  </si>
  <si>
    <t>53498</t>
  </si>
  <si>
    <t>Other (light truck)</t>
  </si>
  <si>
    <t>53499</t>
  </si>
  <si>
    <t>53701</t>
  </si>
  <si>
    <t>Motorcycle 0-50cc</t>
  </si>
  <si>
    <t>53702</t>
  </si>
  <si>
    <t>Motorcycle 51-124cc</t>
  </si>
  <si>
    <t>53703</t>
  </si>
  <si>
    <t>Motorcycle 125-349cc</t>
  </si>
  <si>
    <t>53704</t>
  </si>
  <si>
    <t>Motorcycle 350-449cc</t>
  </si>
  <si>
    <t>53705</t>
  </si>
  <si>
    <t>Motorcycle 450-749cc</t>
  </si>
  <si>
    <t>53706</t>
  </si>
  <si>
    <t>Motorcycle 750cc or greater</t>
  </si>
  <si>
    <t>53709</t>
  </si>
  <si>
    <t xml:space="preserve"> Unknown cc   </t>
  </si>
  <si>
    <t>53731</t>
  </si>
  <si>
    <t>ATV 0-50cc</t>
  </si>
  <si>
    <t>53732</t>
  </si>
  <si>
    <t>53733</t>
  </si>
  <si>
    <t>53734</t>
  </si>
  <si>
    <t>53739</t>
  </si>
  <si>
    <t>53999</t>
  </si>
  <si>
    <t>Unknown Suzuki</t>
  </si>
  <si>
    <t>54031</t>
  </si>
  <si>
    <t>Integra</t>
  </si>
  <si>
    <t>54032</t>
  </si>
  <si>
    <t>Legend</t>
  </si>
  <si>
    <t>54033</t>
  </si>
  <si>
    <t>NSX (1991-2005)</t>
  </si>
  <si>
    <t>54034</t>
  </si>
  <si>
    <t>Vigor</t>
  </si>
  <si>
    <t>54035</t>
  </si>
  <si>
    <t>TL</t>
  </si>
  <si>
    <t>54036</t>
  </si>
  <si>
    <t>RL/RLX</t>
  </si>
  <si>
    <t>54037</t>
  </si>
  <si>
    <t>CL</t>
  </si>
  <si>
    <t>54038</t>
  </si>
  <si>
    <t>RSX</t>
  </si>
  <si>
    <t>54039</t>
  </si>
  <si>
    <t>TSX</t>
  </si>
  <si>
    <t>54040</t>
  </si>
  <si>
    <t>ZDX</t>
  </si>
  <si>
    <t>54041</t>
  </si>
  <si>
    <t>ILX</t>
  </si>
  <si>
    <t>54043</t>
  </si>
  <si>
    <t>NSX (2016 on)</t>
  </si>
  <si>
    <t>54044</t>
  </si>
  <si>
    <t>TLX</t>
  </si>
  <si>
    <t>54398</t>
  </si>
  <si>
    <t>54399</t>
  </si>
  <si>
    <t>54401</t>
  </si>
  <si>
    <t>SLX</t>
  </si>
  <si>
    <t>54402</t>
  </si>
  <si>
    <t>RDX</t>
  </si>
  <si>
    <t>54421</t>
  </si>
  <si>
    <t>MDX</t>
  </si>
  <si>
    <t>54499</t>
  </si>
  <si>
    <t>54999</t>
  </si>
  <si>
    <t xml:space="preserve">Unknown (ACURA) </t>
  </si>
  <si>
    <t>55031</t>
  </si>
  <si>
    <t>Pony</t>
  </si>
  <si>
    <t>55032</t>
  </si>
  <si>
    <t>Excel</t>
  </si>
  <si>
    <t>55033</t>
  </si>
  <si>
    <t>Sonata</t>
  </si>
  <si>
    <t>55034</t>
  </si>
  <si>
    <t>Scoupe</t>
  </si>
  <si>
    <t>55035</t>
  </si>
  <si>
    <t>Elantra</t>
  </si>
  <si>
    <t>55036</t>
  </si>
  <si>
    <t>Accent</t>
  </si>
  <si>
    <t>55037</t>
  </si>
  <si>
    <t>Tiburon</t>
  </si>
  <si>
    <t>55038</t>
  </si>
  <si>
    <t>XG300 (2001)/XG350 (2002 on)</t>
  </si>
  <si>
    <t>55039</t>
  </si>
  <si>
    <t>Azera</t>
  </si>
  <si>
    <t>55040</t>
  </si>
  <si>
    <t>Equus</t>
  </si>
  <si>
    <t>55041</t>
  </si>
  <si>
    <t>Genesis</t>
  </si>
  <si>
    <t>55042</t>
  </si>
  <si>
    <t>Veloster</t>
  </si>
  <si>
    <t>55398</t>
  </si>
  <si>
    <t>55399</t>
  </si>
  <si>
    <t>55401</t>
  </si>
  <si>
    <t>Santa Fe</t>
  </si>
  <si>
    <t>55402</t>
  </si>
  <si>
    <t>Tucson</t>
  </si>
  <si>
    <t>55403</t>
  </si>
  <si>
    <t>Veracruz (2007 only)</t>
  </si>
  <si>
    <t>55421</t>
  </si>
  <si>
    <t>Veracruz (2008 on)</t>
  </si>
  <si>
    <t>55441</t>
  </si>
  <si>
    <t>Entourage</t>
  </si>
  <si>
    <t>55499</t>
  </si>
  <si>
    <t>55999</t>
  </si>
  <si>
    <t xml:space="preserve">Unknown (HYUNDAI) </t>
  </si>
  <si>
    <t>56031</t>
  </si>
  <si>
    <t>XR4Ti</t>
  </si>
  <si>
    <t>56032</t>
  </si>
  <si>
    <t>Scorpio</t>
  </si>
  <si>
    <t>56398</t>
  </si>
  <si>
    <t>56399</t>
  </si>
  <si>
    <t>57031</t>
  </si>
  <si>
    <t>GV/GVL/GVX</t>
  </si>
  <si>
    <t>58031</t>
  </si>
  <si>
    <t>M30</t>
  </si>
  <si>
    <t>58032</t>
  </si>
  <si>
    <t>Q45</t>
  </si>
  <si>
    <t>58033</t>
  </si>
  <si>
    <t>G20</t>
  </si>
  <si>
    <t>58034</t>
  </si>
  <si>
    <t>J30</t>
  </si>
  <si>
    <t>58035</t>
  </si>
  <si>
    <t>I30</t>
  </si>
  <si>
    <t>58036</t>
  </si>
  <si>
    <t>I35</t>
  </si>
  <si>
    <t>58037</t>
  </si>
  <si>
    <t>G25/G35/G37</t>
  </si>
  <si>
    <t>58038</t>
  </si>
  <si>
    <t>M35/M37/M45/M56</t>
  </si>
  <si>
    <t>58039</t>
  </si>
  <si>
    <t>FX35/FX37/FX45/FX50</t>
  </si>
  <si>
    <t>58040</t>
  </si>
  <si>
    <t>EX35</t>
  </si>
  <si>
    <t>58041</t>
  </si>
  <si>
    <t>Q50</t>
  </si>
  <si>
    <t>58042</t>
  </si>
  <si>
    <t>Q60</t>
  </si>
  <si>
    <t>58043</t>
  </si>
  <si>
    <t>Q70</t>
  </si>
  <si>
    <t>58044</t>
  </si>
  <si>
    <t>QX50</t>
  </si>
  <si>
    <t>58045</t>
  </si>
  <si>
    <t>Q40</t>
  </si>
  <si>
    <t>58398</t>
  </si>
  <si>
    <t>58399</t>
  </si>
  <si>
    <t>58401</t>
  </si>
  <si>
    <t>QX4</t>
  </si>
  <si>
    <t>58402</t>
  </si>
  <si>
    <t>JX35</t>
  </si>
  <si>
    <t>58403</t>
  </si>
  <si>
    <t>QX60</t>
  </si>
  <si>
    <t>58404</t>
  </si>
  <si>
    <t>QX70</t>
  </si>
  <si>
    <t>58421</t>
  </si>
  <si>
    <t>QX56</t>
  </si>
  <si>
    <t>58422</t>
  </si>
  <si>
    <t>QX80</t>
  </si>
  <si>
    <t>58499</t>
  </si>
  <si>
    <t>58999</t>
  </si>
  <si>
    <t xml:space="preserve">Unknown (INFINITI) </t>
  </si>
  <si>
    <t>59031</t>
  </si>
  <si>
    <t>ES-250/300/300h/330/ 350</t>
  </si>
  <si>
    <t>59032</t>
  </si>
  <si>
    <t>LS-400/430/460/L/600h/L</t>
  </si>
  <si>
    <t>59033</t>
  </si>
  <si>
    <t>SC-400/300</t>
  </si>
  <si>
    <t>59034</t>
  </si>
  <si>
    <t>GS-300/350/400/430/ 450h/460</t>
  </si>
  <si>
    <t>59035</t>
  </si>
  <si>
    <t>IS-250/300/350/500</t>
  </si>
  <si>
    <t>59036</t>
  </si>
  <si>
    <t>SC-430</t>
  </si>
  <si>
    <t>59037</t>
  </si>
  <si>
    <t>HS 250h</t>
  </si>
  <si>
    <t>59038</t>
  </si>
  <si>
    <t>CT 200h</t>
  </si>
  <si>
    <t>59039</t>
  </si>
  <si>
    <t>LFA</t>
  </si>
  <si>
    <t>59040</t>
  </si>
  <si>
    <t>RC</t>
  </si>
  <si>
    <t>59398</t>
  </si>
  <si>
    <t>59399</t>
  </si>
  <si>
    <t>59401</t>
  </si>
  <si>
    <t>RX300/350</t>
  </si>
  <si>
    <t>59402</t>
  </si>
  <si>
    <t>GX470</t>
  </si>
  <si>
    <t>59403</t>
  </si>
  <si>
    <t>RX330/350/400h/450h</t>
  </si>
  <si>
    <t>59404</t>
  </si>
  <si>
    <t>GX460</t>
  </si>
  <si>
    <t>59405</t>
  </si>
  <si>
    <t>NX</t>
  </si>
  <si>
    <t>59421</t>
  </si>
  <si>
    <t>LX450/470/570</t>
  </si>
  <si>
    <t>59499</t>
  </si>
  <si>
    <t>59999</t>
  </si>
  <si>
    <t xml:space="preserve">Unknown (LEXUS) </t>
  </si>
  <si>
    <t>60031</t>
  </si>
  <si>
    <t>Charade</t>
  </si>
  <si>
    <t>60401</t>
  </si>
  <si>
    <t>Rocky</t>
  </si>
  <si>
    <t>60999</t>
  </si>
  <si>
    <t>Unknown (DAIHATSU)</t>
  </si>
  <si>
    <t>61031</t>
  </si>
  <si>
    <t>827</t>
  </si>
  <si>
    <t>61398</t>
  </si>
  <si>
    <t>61399</t>
  </si>
  <si>
    <t>62401</t>
  </si>
  <si>
    <t>Discovery</t>
  </si>
  <si>
    <t>62402</t>
  </si>
  <si>
    <t>Defender</t>
  </si>
  <si>
    <t>62403</t>
  </si>
  <si>
    <t>Freelander (2004 on)</t>
  </si>
  <si>
    <t>62404</t>
  </si>
  <si>
    <t>Range Rover Evoque</t>
  </si>
  <si>
    <t>62405</t>
  </si>
  <si>
    <t>Discovery Sport</t>
  </si>
  <si>
    <t>62421</t>
  </si>
  <si>
    <t>Range Rover</t>
  </si>
  <si>
    <t>62422</t>
  </si>
  <si>
    <t>Freelander (2002-2003)</t>
  </si>
  <si>
    <t>62423</t>
  </si>
  <si>
    <t>LR3/LR4</t>
  </si>
  <si>
    <t>62424</t>
  </si>
  <si>
    <t>LR2</t>
  </si>
  <si>
    <t>62498</t>
  </si>
  <si>
    <t>62499</t>
  </si>
  <si>
    <t>63031</t>
  </si>
  <si>
    <t>Sephia</t>
  </si>
  <si>
    <t>63032</t>
  </si>
  <si>
    <t>Rio/Rio5</t>
  </si>
  <si>
    <t>63033</t>
  </si>
  <si>
    <t>Spectra/Spectra5</t>
  </si>
  <si>
    <t>63034</t>
  </si>
  <si>
    <t>Optima</t>
  </si>
  <si>
    <t>63035</t>
  </si>
  <si>
    <t>Amanti</t>
  </si>
  <si>
    <t>63036</t>
  </si>
  <si>
    <t>Rondo</t>
  </si>
  <si>
    <t>63037</t>
  </si>
  <si>
    <t>Soul</t>
  </si>
  <si>
    <t>63038</t>
  </si>
  <si>
    <t>Forte</t>
  </si>
  <si>
    <t>63039</t>
  </si>
  <si>
    <t>Cadenza</t>
  </si>
  <si>
    <t>63040</t>
  </si>
  <si>
    <t>K900</t>
  </si>
  <si>
    <t>63398</t>
  </si>
  <si>
    <t>63399</t>
  </si>
  <si>
    <t>63401</t>
  </si>
  <si>
    <t>Sportage</t>
  </si>
  <si>
    <t>63402</t>
  </si>
  <si>
    <t>Sorento</t>
  </si>
  <si>
    <t>63421</t>
  </si>
  <si>
    <t>Borrego</t>
  </si>
  <si>
    <t>63441</t>
  </si>
  <si>
    <t>Sedona</t>
  </si>
  <si>
    <t>63498</t>
  </si>
  <si>
    <t>63499</t>
  </si>
  <si>
    <t>63999</t>
  </si>
  <si>
    <t xml:space="preserve">Unknown (KIA) </t>
  </si>
  <si>
    <t>64031</t>
  </si>
  <si>
    <t>Lanos</t>
  </si>
  <si>
    <t>64032</t>
  </si>
  <si>
    <t>Nubira</t>
  </si>
  <si>
    <t>64033</t>
  </si>
  <si>
    <t>Leganza</t>
  </si>
  <si>
    <t>64398</t>
  </si>
  <si>
    <t>64399</t>
  </si>
  <si>
    <t>65031</t>
  </si>
  <si>
    <t>Fortwo</t>
  </si>
  <si>
    <t>65398</t>
  </si>
  <si>
    <t>65399</t>
  </si>
  <si>
    <t>67031</t>
  </si>
  <si>
    <t>xB (2012 on)</t>
  </si>
  <si>
    <t>67032</t>
  </si>
  <si>
    <t>tC (2012 on)</t>
  </si>
  <si>
    <t>67033</t>
  </si>
  <si>
    <t>xD (2012 on)</t>
  </si>
  <si>
    <t>67034</t>
  </si>
  <si>
    <t>iQ (2012 on)</t>
  </si>
  <si>
    <t>67035</t>
  </si>
  <si>
    <t>FR-S</t>
  </si>
  <si>
    <t>67398</t>
  </si>
  <si>
    <t>67399</t>
  </si>
  <si>
    <t>69031</t>
  </si>
  <si>
    <t>Aston Martin</t>
  </si>
  <si>
    <t>69032</t>
  </si>
  <si>
    <t>Bricklin</t>
  </si>
  <si>
    <t>69033</t>
  </si>
  <si>
    <t>Citroen</t>
  </si>
  <si>
    <t>69034</t>
  </si>
  <si>
    <t>DeLorean</t>
  </si>
  <si>
    <t>69035</t>
  </si>
  <si>
    <t>Ferrari</t>
  </si>
  <si>
    <t>69036</t>
  </si>
  <si>
    <t>Hillman</t>
  </si>
  <si>
    <t>69037</t>
  </si>
  <si>
    <t>Jensen</t>
  </si>
  <si>
    <t>69038</t>
  </si>
  <si>
    <t xml:space="preserve">Lamborghini </t>
  </si>
  <si>
    <t>69039</t>
  </si>
  <si>
    <t>Lotus</t>
  </si>
  <si>
    <t>69040</t>
  </si>
  <si>
    <t>Maserati</t>
  </si>
  <si>
    <t>69041</t>
  </si>
  <si>
    <t>Morris</t>
  </si>
  <si>
    <t>69042</t>
  </si>
  <si>
    <t>Rolls Royce/Bentley</t>
  </si>
  <si>
    <t>69044</t>
  </si>
  <si>
    <t>Simca</t>
  </si>
  <si>
    <t>69045</t>
  </si>
  <si>
    <t>Sunbeam</t>
  </si>
  <si>
    <t>69046</t>
  </si>
  <si>
    <t>TVR</t>
  </si>
  <si>
    <t>69048</t>
  </si>
  <si>
    <t>Desta</t>
  </si>
  <si>
    <t>69049</t>
  </si>
  <si>
    <t>Reliant</t>
  </si>
  <si>
    <t>69052</t>
  </si>
  <si>
    <t>Bertone</t>
  </si>
  <si>
    <t>69053</t>
  </si>
  <si>
    <t>Lada</t>
  </si>
  <si>
    <t>69054</t>
  </si>
  <si>
    <t>Mini-Cooper</t>
  </si>
  <si>
    <t>69055</t>
  </si>
  <si>
    <t>Morgan (2003 on; Prior to 2003 see 398)</t>
  </si>
  <si>
    <t>69056</t>
  </si>
  <si>
    <t>Maybach</t>
  </si>
  <si>
    <t>69057</t>
  </si>
  <si>
    <t>Spyker</t>
  </si>
  <si>
    <t>69058</t>
  </si>
  <si>
    <t>Koenigsegg</t>
  </si>
  <si>
    <t>69061</t>
  </si>
  <si>
    <t>Mahindra</t>
  </si>
  <si>
    <t>69062</t>
  </si>
  <si>
    <t>Caterham</t>
  </si>
  <si>
    <t>69063</t>
  </si>
  <si>
    <t>McLaren</t>
  </si>
  <si>
    <t>69064</t>
  </si>
  <si>
    <t>Bugatti</t>
  </si>
  <si>
    <t>69398</t>
  </si>
  <si>
    <t>Other (automotive)</t>
  </si>
  <si>
    <t>69399</t>
  </si>
  <si>
    <t xml:space="preserve">Unknown Make  </t>
  </si>
  <si>
    <t>70701</t>
  </si>
  <si>
    <t>70702</t>
  </si>
  <si>
    <t>70703</t>
  </si>
  <si>
    <t>70704</t>
  </si>
  <si>
    <t>70705</t>
  </si>
  <si>
    <t>70706</t>
  </si>
  <si>
    <t>70709</t>
  </si>
  <si>
    <t>71701</t>
  </si>
  <si>
    <t>71702</t>
  </si>
  <si>
    <t>71703</t>
  </si>
  <si>
    <t>71704</t>
  </si>
  <si>
    <t>71705</t>
  </si>
  <si>
    <t>71706</t>
  </si>
  <si>
    <t>71709</t>
  </si>
  <si>
    <t>72701</t>
  </si>
  <si>
    <t>72702</t>
  </si>
  <si>
    <t>72703</t>
  </si>
  <si>
    <t>72704</t>
  </si>
  <si>
    <t>72705</t>
  </si>
  <si>
    <t>72706</t>
  </si>
  <si>
    <t>72709</t>
  </si>
  <si>
    <t>73701</t>
  </si>
  <si>
    <t>73702</t>
  </si>
  <si>
    <t>73703</t>
  </si>
  <si>
    <t>73704</t>
  </si>
  <si>
    <t>73705</t>
  </si>
  <si>
    <t>73706</t>
  </si>
  <si>
    <t>73709</t>
  </si>
  <si>
    <t>73731</t>
  </si>
  <si>
    <t>73732</t>
  </si>
  <si>
    <t>73733</t>
  </si>
  <si>
    <t>73734</t>
  </si>
  <si>
    <t>73739</t>
  </si>
  <si>
    <t>73998</t>
  </si>
  <si>
    <t>Other (Vehicle)</t>
  </si>
  <si>
    <t>74704</t>
  </si>
  <si>
    <t>74705</t>
  </si>
  <si>
    <t>74706</t>
  </si>
  <si>
    <t>74709</t>
  </si>
  <si>
    <t>75704</t>
  </si>
  <si>
    <t>75705</t>
  </si>
  <si>
    <t>75706</t>
  </si>
  <si>
    <t>75709</t>
  </si>
  <si>
    <t>76701</t>
  </si>
  <si>
    <t>76702</t>
  </si>
  <si>
    <t>76703</t>
  </si>
  <si>
    <t>76704</t>
  </si>
  <si>
    <t>76705</t>
  </si>
  <si>
    <t>76706</t>
  </si>
  <si>
    <t>76709</t>
  </si>
  <si>
    <t>76731</t>
  </si>
  <si>
    <t>76732</t>
  </si>
  <si>
    <t>76733</t>
  </si>
  <si>
    <t>76734</t>
  </si>
  <si>
    <t>76739</t>
  </si>
  <si>
    <t>76998</t>
  </si>
  <si>
    <t>77706</t>
  </si>
  <si>
    <t>77709</t>
  </si>
  <si>
    <t>77998</t>
  </si>
  <si>
    <t>80850</t>
  </si>
  <si>
    <t>80881</t>
  </si>
  <si>
    <t>80882</t>
  </si>
  <si>
    <t>80883</t>
  </si>
  <si>
    <t>80884</t>
  </si>
  <si>
    <t>80890</t>
  </si>
  <si>
    <t>80898</t>
  </si>
  <si>
    <t>80981</t>
  </si>
  <si>
    <t>80982</t>
  </si>
  <si>
    <t>80983</t>
  </si>
  <si>
    <t>80988</t>
  </si>
  <si>
    <t>80989</t>
  </si>
  <si>
    <t>80998</t>
  </si>
  <si>
    <t>80999</t>
  </si>
  <si>
    <t>Unknown (BROCKWAY)</t>
  </si>
  <si>
    <t>81850</t>
  </si>
  <si>
    <t>81881</t>
  </si>
  <si>
    <t>81882</t>
  </si>
  <si>
    <t>81883</t>
  </si>
  <si>
    <t>81884</t>
  </si>
  <si>
    <t>81890</t>
  </si>
  <si>
    <t>81898</t>
  </si>
  <si>
    <t>81981</t>
  </si>
  <si>
    <t>81982</t>
  </si>
  <si>
    <t>81983</t>
  </si>
  <si>
    <t>81988</t>
  </si>
  <si>
    <t>81989</t>
  </si>
  <si>
    <t>81998</t>
  </si>
  <si>
    <t>81999</t>
  </si>
  <si>
    <t>Unknown (DIAMOND REO or REO)</t>
  </si>
  <si>
    <t>82461</t>
  </si>
  <si>
    <t>Sprinter/Advantage</t>
  </si>
  <si>
    <t>82462</t>
  </si>
  <si>
    <t>MT 35 Chassis</t>
  </si>
  <si>
    <t>82498</t>
  </si>
  <si>
    <t>82499</t>
  </si>
  <si>
    <t>82850</t>
  </si>
  <si>
    <t>82870</t>
  </si>
  <si>
    <t>Medium Heavy Van-Based Vehicle</t>
  </si>
  <si>
    <t>82881</t>
  </si>
  <si>
    <t>82882</t>
  </si>
  <si>
    <t>82883</t>
  </si>
  <si>
    <t>82884</t>
  </si>
  <si>
    <t>82890</t>
  </si>
  <si>
    <t>82898</t>
  </si>
  <si>
    <t>82981</t>
  </si>
  <si>
    <t>82982</t>
  </si>
  <si>
    <t>82983</t>
  </si>
  <si>
    <t>82988</t>
  </si>
  <si>
    <t>82989</t>
  </si>
  <si>
    <t>82998</t>
  </si>
  <si>
    <t>82999</t>
  </si>
  <si>
    <t xml:space="preserve">Unknown (FREIGHTLINER)   </t>
  </si>
  <si>
    <t>83850</t>
  </si>
  <si>
    <t>83881</t>
  </si>
  <si>
    <t>83882</t>
  </si>
  <si>
    <t>83883</t>
  </si>
  <si>
    <t>83884</t>
  </si>
  <si>
    <t>83890</t>
  </si>
  <si>
    <t>83898</t>
  </si>
  <si>
    <t>83981</t>
  </si>
  <si>
    <t>83982</t>
  </si>
  <si>
    <t>83983</t>
  </si>
  <si>
    <t>83988</t>
  </si>
  <si>
    <t>83989</t>
  </si>
  <si>
    <t>83998</t>
  </si>
  <si>
    <t>83999</t>
  </si>
  <si>
    <t xml:space="preserve">Unknown (FWD) </t>
  </si>
  <si>
    <t>84421</t>
  </si>
  <si>
    <t>Scout</t>
  </si>
  <si>
    <t>84431</t>
  </si>
  <si>
    <t>Travelall</t>
  </si>
  <si>
    <t>84466</t>
  </si>
  <si>
    <t>Multistop Van</t>
  </si>
  <si>
    <t>84481</t>
  </si>
  <si>
    <t>84498</t>
  </si>
  <si>
    <t>84499</t>
  </si>
  <si>
    <t>84850</t>
  </si>
  <si>
    <t>84881</t>
  </si>
  <si>
    <t>84882</t>
  </si>
  <si>
    <t>84883</t>
  </si>
  <si>
    <t>84884</t>
  </si>
  <si>
    <t>84890</t>
  </si>
  <si>
    <t>84898</t>
  </si>
  <si>
    <t xml:space="preserve">Other (medium/heavy  truck) </t>
  </si>
  <si>
    <t>84981</t>
  </si>
  <si>
    <t>84982</t>
  </si>
  <si>
    <t>84983</t>
  </si>
  <si>
    <t>84988</t>
  </si>
  <si>
    <t>84989</t>
  </si>
  <si>
    <t>84998</t>
  </si>
  <si>
    <t>84999</t>
  </si>
  <si>
    <t xml:space="preserve">Unknown (INTL. HARVESTER/ NAVISTAR) </t>
  </si>
  <si>
    <t>85850</t>
  </si>
  <si>
    <t>85881</t>
  </si>
  <si>
    <t>85882</t>
  </si>
  <si>
    <t>85883</t>
  </si>
  <si>
    <t>85884</t>
  </si>
  <si>
    <t>85890</t>
  </si>
  <si>
    <t>85898</t>
  </si>
  <si>
    <t>85981</t>
  </si>
  <si>
    <t>85982</t>
  </si>
  <si>
    <t>85983</t>
  </si>
  <si>
    <t>85988</t>
  </si>
  <si>
    <t>85989</t>
  </si>
  <si>
    <t>85998</t>
  </si>
  <si>
    <t>85999</t>
  </si>
  <si>
    <t xml:space="preserve">Unknown (KENWORTH) </t>
  </si>
  <si>
    <t>86850</t>
  </si>
  <si>
    <t>86881</t>
  </si>
  <si>
    <t>86882</t>
  </si>
  <si>
    <t>86883</t>
  </si>
  <si>
    <t>86884</t>
  </si>
  <si>
    <t>86890</t>
  </si>
  <si>
    <t>86898</t>
  </si>
  <si>
    <t>86981</t>
  </si>
  <si>
    <t>86982</t>
  </si>
  <si>
    <t>86983</t>
  </si>
  <si>
    <t>86988</t>
  </si>
  <si>
    <t>86989</t>
  </si>
  <si>
    <t>86998</t>
  </si>
  <si>
    <t>86999</t>
  </si>
  <si>
    <t xml:space="preserve">Unknown (MACK) </t>
  </si>
  <si>
    <t>87850</t>
  </si>
  <si>
    <t>87881</t>
  </si>
  <si>
    <t>87882</t>
  </si>
  <si>
    <t>87883</t>
  </si>
  <si>
    <t>87884</t>
  </si>
  <si>
    <t>87890</t>
  </si>
  <si>
    <t>87898</t>
  </si>
  <si>
    <t>87981</t>
  </si>
  <si>
    <t>87982</t>
  </si>
  <si>
    <t>87983</t>
  </si>
  <si>
    <t>87988</t>
  </si>
  <si>
    <t>87989</t>
  </si>
  <si>
    <t>87998</t>
  </si>
  <si>
    <t>87999</t>
  </si>
  <si>
    <t xml:space="preserve">Unknown (PETERBILT) </t>
  </si>
  <si>
    <t>88850</t>
  </si>
  <si>
    <t>88881</t>
  </si>
  <si>
    <t>88882</t>
  </si>
  <si>
    <t>88883</t>
  </si>
  <si>
    <t>88884</t>
  </si>
  <si>
    <t>88890</t>
  </si>
  <si>
    <t>88898</t>
  </si>
  <si>
    <t>88981</t>
  </si>
  <si>
    <t>88982</t>
  </si>
  <si>
    <t>88983</t>
  </si>
  <si>
    <t>88988</t>
  </si>
  <si>
    <t>88989</t>
  </si>
  <si>
    <t>88998</t>
  </si>
  <si>
    <t>88999</t>
  </si>
  <si>
    <t>Unknown (IVECO/MAGIRUS)</t>
  </si>
  <si>
    <t>89850</t>
  </si>
  <si>
    <t>89881</t>
  </si>
  <si>
    <t>89882</t>
  </si>
  <si>
    <t>89883</t>
  </si>
  <si>
    <t>89884</t>
  </si>
  <si>
    <t>89890</t>
  </si>
  <si>
    <t>89898</t>
  </si>
  <si>
    <t>89981</t>
  </si>
  <si>
    <t>89982</t>
  </si>
  <si>
    <t>89983</t>
  </si>
  <si>
    <t>89988</t>
  </si>
  <si>
    <t>89989</t>
  </si>
  <si>
    <t>89998</t>
  </si>
  <si>
    <t>89999</t>
  </si>
  <si>
    <t>Unknown (WHITE/AUTOCAR-WHITE/GMC)</t>
  </si>
  <si>
    <t>90461</t>
  </si>
  <si>
    <t>Van Based</t>
  </si>
  <si>
    <t>90981</t>
  </si>
  <si>
    <t>90982</t>
  </si>
  <si>
    <t>90983</t>
  </si>
  <si>
    <t>90988</t>
  </si>
  <si>
    <t xml:space="preserve">Other (bus)  Other (bus) </t>
  </si>
  <si>
    <t>90989</t>
  </si>
  <si>
    <t>90999</t>
  </si>
  <si>
    <t>Unknown (BLUEBIRD)</t>
  </si>
  <si>
    <t>91981</t>
  </si>
  <si>
    <t>91982</t>
  </si>
  <si>
    <t>91983</t>
  </si>
  <si>
    <t>92981</t>
  </si>
  <si>
    <t>92982</t>
  </si>
  <si>
    <t>92983</t>
  </si>
  <si>
    <t>92988</t>
  </si>
  <si>
    <t>92989</t>
  </si>
  <si>
    <t>93981</t>
  </si>
  <si>
    <t>93982</t>
  </si>
  <si>
    <t>93983</t>
  </si>
  <si>
    <t>93988</t>
  </si>
  <si>
    <t>93989</t>
  </si>
  <si>
    <t>94461</t>
  </si>
  <si>
    <t>94981</t>
  </si>
  <si>
    <t>94982</t>
  </si>
  <si>
    <t>94983</t>
  </si>
  <si>
    <t>94988</t>
  </si>
  <si>
    <t>94989</t>
  </si>
  <si>
    <t xml:space="preserve">LIGHT TRUCKS  Unknown (bus) </t>
  </si>
  <si>
    <t>94999</t>
  </si>
  <si>
    <t xml:space="preserve">Unknown (THOMAS BUILT)   </t>
  </si>
  <si>
    <t>98301</t>
  </si>
  <si>
    <t>Think</t>
  </si>
  <si>
    <t>98302</t>
  </si>
  <si>
    <t>Meyers Motor</t>
  </si>
  <si>
    <t>98398</t>
  </si>
  <si>
    <t>98498</t>
  </si>
  <si>
    <t>98598</t>
  </si>
  <si>
    <t>Other (LSV/NEV)</t>
  </si>
  <si>
    <t>98701</t>
  </si>
  <si>
    <t>98702</t>
  </si>
  <si>
    <t>98703</t>
  </si>
  <si>
    <t>98704</t>
  </si>
  <si>
    <t>98705</t>
  </si>
  <si>
    <t xml:space="preserve">450-749cc </t>
  </si>
  <si>
    <t>98706</t>
  </si>
  <si>
    <t xml:space="preserve">750cc or greater </t>
  </si>
  <si>
    <t>98709</t>
  </si>
  <si>
    <t>98731</t>
  </si>
  <si>
    <t>98732</t>
  </si>
  <si>
    <t>98733</t>
  </si>
  <si>
    <t xml:space="preserve">125-349cc </t>
  </si>
  <si>
    <t>98734</t>
  </si>
  <si>
    <t xml:space="preserve">350cc or greater </t>
  </si>
  <si>
    <t>98739</t>
  </si>
  <si>
    <t>98802</t>
  </si>
  <si>
    <t xml:space="preserve">Auto-Union-DKW </t>
  </si>
  <si>
    <t>98803</t>
  </si>
  <si>
    <t xml:space="preserve">Divco </t>
  </si>
  <si>
    <t>98804</t>
  </si>
  <si>
    <t xml:space="preserve">Western Star </t>
  </si>
  <si>
    <t>98805</t>
  </si>
  <si>
    <t xml:space="preserve">Oshkosh </t>
  </si>
  <si>
    <t>98806</t>
  </si>
  <si>
    <t xml:space="preserve">Hino </t>
  </si>
  <si>
    <t>98807</t>
  </si>
  <si>
    <t xml:space="preserve">Scania </t>
  </si>
  <si>
    <t>98808</t>
  </si>
  <si>
    <t>UD</t>
  </si>
  <si>
    <t>98809</t>
  </si>
  <si>
    <t xml:space="preserve">Sterling </t>
  </si>
  <si>
    <t>98850</t>
  </si>
  <si>
    <t xml:space="preserve">Motor Home </t>
  </si>
  <si>
    <t>98870</t>
  </si>
  <si>
    <t>Medium/Heavy Van- Based Vehicle</t>
  </si>
  <si>
    <t>98881</t>
  </si>
  <si>
    <t xml:space="preserve">Medium/Heavy Â­ CBE </t>
  </si>
  <si>
    <t>98882</t>
  </si>
  <si>
    <t xml:space="preserve">Medium/Heavy Â­ COE  low entry </t>
  </si>
  <si>
    <t>98883</t>
  </si>
  <si>
    <t xml:space="preserve">Medium/Heavy Â­ COE  high entry </t>
  </si>
  <si>
    <t>98884</t>
  </si>
  <si>
    <t>Medium/Heavy Â­ Unknown engine  location</t>
  </si>
  <si>
    <t>98890</t>
  </si>
  <si>
    <t>98898</t>
  </si>
  <si>
    <t>Other (medium/heavy e.g., Marmon, Ward LaFrance truck)**</t>
  </si>
  <si>
    <t>98902</t>
  </si>
  <si>
    <t xml:space="preserve">Neoplan   </t>
  </si>
  <si>
    <t>98903</t>
  </si>
  <si>
    <t xml:space="preserve">Carpenter   </t>
  </si>
  <si>
    <t>98904</t>
  </si>
  <si>
    <t xml:space="preserve">Collins Bus   </t>
  </si>
  <si>
    <t>98905</t>
  </si>
  <si>
    <t xml:space="preserve">DINA   </t>
  </si>
  <si>
    <t>98906</t>
  </si>
  <si>
    <t xml:space="preserve">Mid Bus   </t>
  </si>
  <si>
    <t>98907</t>
  </si>
  <si>
    <t xml:space="preserve">Orion </t>
  </si>
  <si>
    <t>98908</t>
  </si>
  <si>
    <t xml:space="preserve">Van Hool </t>
  </si>
  <si>
    <t>98981</t>
  </si>
  <si>
    <t>Bus***: Conventional (Engine out front)</t>
  </si>
  <si>
    <t>98982</t>
  </si>
  <si>
    <t>98983</t>
  </si>
  <si>
    <t>98988</t>
  </si>
  <si>
    <t>98998</t>
  </si>
  <si>
    <t>98999</t>
  </si>
  <si>
    <t>Unknown (OTHER MAKE)</t>
  </si>
  <si>
    <t>99399</t>
  </si>
  <si>
    <t>99499</t>
  </si>
  <si>
    <t xml:space="preserve">Unknown (light truck)    </t>
  </si>
  <si>
    <t>99599</t>
  </si>
  <si>
    <t>Unknown (LSV/NEV)</t>
  </si>
  <si>
    <t>99701</t>
  </si>
  <si>
    <t>99702</t>
  </si>
  <si>
    <t>99703</t>
  </si>
  <si>
    <t>99704</t>
  </si>
  <si>
    <t>99705</t>
  </si>
  <si>
    <t>99706</t>
  </si>
  <si>
    <t>99709</t>
  </si>
  <si>
    <t>99731</t>
  </si>
  <si>
    <t xml:space="preserve">0-50cc   </t>
  </si>
  <si>
    <t>99732</t>
  </si>
  <si>
    <t xml:space="preserve">51-124cc   </t>
  </si>
  <si>
    <t>99733</t>
  </si>
  <si>
    <t xml:space="preserve">125-349cc  </t>
  </si>
  <si>
    <t>99734</t>
  </si>
  <si>
    <t xml:space="preserve">350cc or greater  </t>
  </si>
  <si>
    <t>99739</t>
  </si>
  <si>
    <t xml:space="preserve">Unknown cc  </t>
  </si>
  <si>
    <t>99850</t>
  </si>
  <si>
    <t>99870</t>
  </si>
  <si>
    <t>Medium Heavy Van- Based Vehicle</t>
  </si>
  <si>
    <t>99881</t>
  </si>
  <si>
    <t xml:space="preserve">Medium/Heavy Â­ CBE   </t>
  </si>
  <si>
    <t>99882</t>
  </si>
  <si>
    <t>Medium/Heavy Â­ COE  low entry</t>
  </si>
  <si>
    <t>99883</t>
  </si>
  <si>
    <t>Medium/Heavy Â­ COE  high entry</t>
  </si>
  <si>
    <t>99884</t>
  </si>
  <si>
    <t>99890</t>
  </si>
  <si>
    <t>99898</t>
  </si>
  <si>
    <t xml:space="preserve">Other (medium/heavy truck) </t>
  </si>
  <si>
    <t>99981</t>
  </si>
  <si>
    <t>Bus**: Conventional (Engine out front)</t>
  </si>
  <si>
    <t>99982</t>
  </si>
  <si>
    <t xml:space="preserve">Bus: Front engine. Flat front </t>
  </si>
  <si>
    <t>99983</t>
  </si>
  <si>
    <t xml:space="preserve">Bus: Rear engine, Flat front </t>
  </si>
  <si>
    <t>99988</t>
  </si>
  <si>
    <t>99989</t>
  </si>
  <si>
    <t>99997</t>
  </si>
  <si>
    <t>99998</t>
  </si>
  <si>
    <t>99999</t>
  </si>
  <si>
    <t>Unknown (as to automobile, motored cycle, light truck or truck)</t>
  </si>
  <si>
    <t>MSA of 1 million or more, with rail</t>
  </si>
  <si>
    <t>MSA of 1 million or more, and not in 1</t>
  </si>
  <si>
    <t>MSA less than 1 million</t>
  </si>
  <si>
    <t>Not in MSA</t>
  </si>
  <si>
    <t>In an MSA of Less than 250,000</t>
  </si>
  <si>
    <t>In an MSA of 250,000 - 499,999</t>
  </si>
  <si>
    <t>In an MSA of 500,000 - 999,999</t>
  </si>
  <si>
    <t>In an MSA or CMSA of 1,000,000 - 2,999,999</t>
  </si>
  <si>
    <t>In an MSA or CMSA of 3 million or more</t>
  </si>
  <si>
    <t>Not in MSA or CMSA</t>
  </si>
  <si>
    <t>Sales or service</t>
  </si>
  <si>
    <t>Clerical or administrative support</t>
  </si>
  <si>
    <t>Manufacturing, construction, maintenance, or farming</t>
  </si>
  <si>
    <t>Professional, managerial, or technical</t>
  </si>
  <si>
    <t xml:space="preserve">Never </t>
  </si>
  <si>
    <t>[$HE_SHE_CAP2] rarely or never [$DO_DOES2] any physical activity</t>
  </si>
  <si>
    <t>[$HE_SHE_CAP2] [$DO_DOES2] some light or moderate physical activities</t>
  </si>
  <si>
    <t>[$HE_SHE_CAP2] [$DO_DOES2] some vigorous physical activities</t>
  </si>
  <si>
    <t>Working</t>
  </si>
  <si>
    <t>Temporarily absent from a job or business</t>
  </si>
  <si>
    <t>Looking for work / unemployed</t>
  </si>
  <si>
    <t>A homemaker</t>
  </si>
  <si>
    <t>Going to school</t>
  </si>
  <si>
    <t>Retired</t>
  </si>
  <si>
    <t>Self-report</t>
  </si>
  <si>
    <t>Proxy-report</t>
  </si>
  <si>
    <t>American Indian or Alaska native</t>
  </si>
  <si>
    <t>Native Hawaiian or other Pacific islander</t>
  </si>
  <si>
    <t>MSA has rail</t>
  </si>
  <si>
    <t>MSA does not have rail, or hh not in an MSA</t>
  </si>
  <si>
    <t>Mail</t>
  </si>
  <si>
    <t>CATI</t>
  </si>
  <si>
    <t>Web</t>
  </si>
  <si>
    <t>Yes, Hispanic or Latino</t>
  </si>
  <si>
    <t>No, Not Hispanic or Latino</t>
  </si>
  <si>
    <t>Self</t>
  </si>
  <si>
    <t>Spouse/Unmarried partner</t>
  </si>
  <si>
    <t>Child</t>
  </si>
  <si>
    <t>Parent</t>
  </si>
  <si>
    <t>Brother/Sister</t>
  </si>
  <si>
    <t>Other relative</t>
  </si>
  <si>
    <t>Non-relative</t>
  </si>
  <si>
    <t xml:space="preserve">Male </t>
  </si>
  <si>
    <t xml:space="preserve">Female </t>
  </si>
  <si>
    <t>Personally sick</t>
  </si>
  <si>
    <t>Vacation or personal day</t>
  </si>
  <si>
    <t>Caretaking</t>
  </si>
  <si>
    <t xml:space="preserve">Disabled or home-bound  </t>
  </si>
  <si>
    <t>Worked at home (for pay)</t>
  </si>
  <si>
    <t>Not scheduled to work</t>
  </si>
  <si>
    <t>Worked around home (not for pay)</t>
  </si>
  <si>
    <t>Bad weather</t>
  </si>
  <si>
    <t>Out of country</t>
  </si>
  <si>
    <t>No transportation available</t>
  </si>
  <si>
    <t>No longer a household resident</t>
  </si>
  <si>
    <t>National</t>
  </si>
  <si>
    <t>California Department of Transportation</t>
  </si>
  <si>
    <t>Des Moines Metropolitan Planning Organization</t>
  </si>
  <si>
    <t>Georgia Department of Transportation</t>
  </si>
  <si>
    <t>Indian Nations Council of Governments</t>
  </si>
  <si>
    <t>Iowa Northlands Regional Council of Governments</t>
  </si>
  <si>
    <t>Maryland State Highway Administration</t>
  </si>
  <si>
    <t>North Carolina Department of Transportation</t>
  </si>
  <si>
    <t>North Central Texas Council of Governments</t>
  </si>
  <si>
    <t>New York State Department of Transportation</t>
  </si>
  <si>
    <t>South Carolina Department of Transportation</t>
  </si>
  <si>
    <t>Texas Department of Transportation</t>
  </si>
  <si>
    <t>Wisconsin Department of Transportation</t>
  </si>
  <si>
    <t>County in MSA with &gt;= 1M and Heavy Rail</t>
  </si>
  <si>
    <t>County in MSA with &gt;= 1M and no Heavy Rail</t>
  </si>
  <si>
    <t>County in MSA with &lt; 1M</t>
  </si>
  <si>
    <t>County not in MSA</t>
  </si>
  <si>
    <t>Car</t>
  </si>
  <si>
    <t>SUV</t>
  </si>
  <si>
    <t>Pickup truck</t>
  </si>
  <si>
    <t>Golf cart / Segway</t>
  </si>
  <si>
    <t>Motorcycle / Moped</t>
  </si>
  <si>
    <t>RV (motor home, ATV, snowmobile)</t>
  </si>
  <si>
    <t>School bus</t>
  </si>
  <si>
    <t>Public or Commuter bus</t>
  </si>
  <si>
    <t>Paratransit / Dial-a-ride</t>
  </si>
  <si>
    <t>Private / Charter / Tour / Shuttle bus</t>
  </si>
  <si>
    <t>City-to-city bus (Greyhound, Megabus)</t>
  </si>
  <si>
    <t>Amtrak / Commuter rail</t>
  </si>
  <si>
    <t>Subway / Elevated / Light rail / Street car</t>
  </si>
  <si>
    <t>Taxi / Limo (including Uber / Lyft)</t>
  </si>
  <si>
    <t>Rental car (Including Zipcar / Car2Go)</t>
  </si>
  <si>
    <t>Boat / Ferry / Water taxi</t>
  </si>
  <si>
    <t xml:space="preserve">Public or private school </t>
  </si>
  <si>
    <t>Home schooled</t>
  </si>
  <si>
    <t>Not in school</t>
  </si>
  <si>
    <t>North Central Texas Council of Governments and Texas Department of Transportation</t>
  </si>
  <si>
    <t xml:space="preserve">Bicycle </t>
  </si>
  <si>
    <t xml:space="preserve">Van </t>
  </si>
  <si>
    <t xml:space="preserve">Pickup truck </t>
  </si>
  <si>
    <t xml:space="preserve">Golf cart / Segway </t>
  </si>
  <si>
    <t xml:space="preserve">Motorcycle / Moped </t>
  </si>
  <si>
    <t xml:space="preserve">RV (motor home, ATV, snowmobile) </t>
  </si>
  <si>
    <t xml:space="preserve">School bus </t>
  </si>
  <si>
    <t xml:space="preserve">Public or commuter bus </t>
  </si>
  <si>
    <t xml:space="preserve">Private / Charter / Tour / Shuttle bus </t>
  </si>
  <si>
    <t xml:space="preserve">Subway / Elevated / Light rail / Street car </t>
  </si>
  <si>
    <t xml:space="preserve">Taxi / Limo (including Uber / Lyft) </t>
  </si>
  <si>
    <t xml:space="preserve">Airplane </t>
  </si>
  <si>
    <t xml:space="preserve">Something Else </t>
  </si>
  <si>
    <t>Sunday</t>
  </si>
  <si>
    <t>Monday</t>
  </si>
  <si>
    <t>Tuesday</t>
  </si>
  <si>
    <t>Wednesday</t>
  </si>
  <si>
    <t>Thursday</t>
  </si>
  <si>
    <t>Friday</t>
  </si>
  <si>
    <t>Saturday</t>
  </si>
  <si>
    <t xml:space="preserve">Car </t>
  </si>
  <si>
    <t>HBO</t>
  </si>
  <si>
    <t>Home-based trip (other)</t>
  </si>
  <si>
    <t>NHB</t>
  </si>
  <si>
    <t>Not a home-based trip</t>
  </si>
  <si>
    <t>HBW</t>
  </si>
  <si>
    <t>Home-based trip (work)</t>
  </si>
  <si>
    <t>HBSHOP</t>
  </si>
  <si>
    <t>Home-based trip (shopping)</t>
  </si>
  <si>
    <t>HBSOCREC</t>
  </si>
  <si>
    <t>Home-based trip (social/recreational)</t>
  </si>
  <si>
    <t xml:space="preserve">Paratransit / Dial-a-ride </t>
  </si>
  <si>
    <t>Subway / elevated / light rail / street car</t>
  </si>
  <si>
    <t>Taxi / limo (including Uber / Lyft)</t>
  </si>
  <si>
    <t xml:space="preserve">Boat / ferry / water taxi </t>
  </si>
  <si>
    <t>In an urban area</t>
  </si>
  <si>
    <t>In an Urban cluster</t>
  </si>
  <si>
    <t>In an area surrounded by urban areas</t>
  </si>
  <si>
    <t>Not in urban area</t>
  </si>
  <si>
    <t>50,000 - 199,999</t>
  </si>
  <si>
    <t>200,000 - 499,999</t>
  </si>
  <si>
    <t>500,000 - 999,999</t>
  </si>
  <si>
    <t>1 million or more without heavy rail</t>
  </si>
  <si>
    <t>1 million or more with heavy rail</t>
  </si>
  <si>
    <t>Not in an urbanized area</t>
  </si>
  <si>
    <t>Urban</t>
  </si>
  <si>
    <t>Rural</t>
  </si>
  <si>
    <t>[$VEHNAME:R1]</t>
  </si>
  <si>
    <t>[$VEHNAME:R2]</t>
  </si>
  <si>
    <t>[$VEHNAME:R3]</t>
  </si>
  <si>
    <t>[$VEHNAME:R4]</t>
  </si>
  <si>
    <t>[$VEHNAME:R5]</t>
  </si>
  <si>
    <t>[$VEHNAME:R6]</t>
  </si>
  <si>
    <t>[$VEHNAME:R7]</t>
  </si>
  <si>
    <t>[$VEHNAME:R8]</t>
  </si>
  <si>
    <t>[$VEHNAME:R9]</t>
  </si>
  <si>
    <t>[$VEHNAME:R10]</t>
  </si>
  <si>
    <t>[$VEHNAME:R11]</t>
  </si>
  <si>
    <t>[$VEHNAME:R12]</t>
  </si>
  <si>
    <t>Non-Household vehicle</t>
  </si>
  <si>
    <t>More than 20,000 miles</t>
  </si>
  <si>
    <t>Automobile/Car/Station Wagon</t>
  </si>
  <si>
    <t>Van (Mini/Cargo/Passenger)</t>
  </si>
  <si>
    <t>SUV (Santa Fe, Tahoe, Jeep, etc.)</t>
  </si>
  <si>
    <t>Pickup Truck</t>
  </si>
  <si>
    <t>Other Truck</t>
  </si>
  <si>
    <t>RV (Recreational Vehicle)</t>
  </si>
  <si>
    <t>Motorcycle/Motorbike</t>
  </si>
  <si>
    <t xml:space="preserve">Neither Agreeor Disagree </t>
  </si>
  <si>
    <t>Street crossings are unsafe</t>
  </si>
  <si>
    <t>A few times a month</t>
  </si>
  <si>
    <t>A few times a year</t>
  </si>
  <si>
    <t xml:space="preserve">[$FNAME:R1] </t>
  </si>
  <si>
    <t>Someone else</t>
  </si>
  <si>
    <t>1. Regular home activities (chores, sleep)</t>
  </si>
  <si>
    <t>2. Work from home (paid)</t>
  </si>
  <si>
    <t xml:space="preserve">3. Work </t>
  </si>
  <si>
    <t>4. Work-related meeting / trip</t>
  </si>
  <si>
    <t>5. Volunteer activities (not paid)</t>
  </si>
  <si>
    <t>6. Drop off /pick up someone</t>
  </si>
  <si>
    <t>7. Change type of transportation</t>
  </si>
  <si>
    <t>8. Attend school as a student</t>
  </si>
  <si>
    <t>9. Attend child care</t>
  </si>
  <si>
    <t xml:space="preserve">10. Attend adult care </t>
  </si>
  <si>
    <t>11. Buy goods (groceries, clothes, appliances, gas)</t>
  </si>
  <si>
    <t>12. Buy services (dry cleaners, banking, service a car, pet care)</t>
  </si>
  <si>
    <t>13. Buy meals (go out for a meal, snack, carry-out)</t>
  </si>
  <si>
    <t>14. Other general errands (post office, library)</t>
  </si>
  <si>
    <t>15. Recreational activities (visit parks, movies, bars, museums)</t>
  </si>
  <si>
    <t>16. Exercise (go for a jog, walk, walk the dog, go to the gym)</t>
  </si>
  <si>
    <t>17. Visit friends or relatives</t>
  </si>
  <si>
    <t>18. Health care visit (medical, dental, therapy)</t>
  </si>
  <si>
    <t>19. Religious or other community activities</t>
  </si>
  <si>
    <t>Home</t>
  </si>
  <si>
    <t xml:space="preserve">School/Daycare/Religious activity </t>
  </si>
  <si>
    <t xml:space="preserve">Medical/Dental services </t>
  </si>
  <si>
    <t xml:space="preserve">Shopping/Errands </t>
  </si>
  <si>
    <t xml:space="preserve">Social/Recreational </t>
  </si>
  <si>
    <t>Family personal business/Obligations</t>
  </si>
  <si>
    <t xml:space="preserve">Transport someone </t>
  </si>
  <si>
    <t>Meals</t>
  </si>
  <si>
    <t xml:space="preserve">To/From Work </t>
  </si>
  <si>
    <t xml:space="preserve">Work-Related Business 	</t>
  </si>
  <si>
    <t xml:space="preserve">Shopping </t>
  </si>
  <si>
    <t>Other Family/Personal Business</t>
  </si>
  <si>
    <t xml:space="preserve">School/Church </t>
  </si>
  <si>
    <t xml:space="preserve">Medical/Dentral </t>
  </si>
  <si>
    <t xml:space="preserve">Visit Friends/Relatives </t>
  </si>
  <si>
    <t xml:space="preserve">Other Social/Recreational </t>
  </si>
  <si>
    <t>Refused / Don't Know</t>
  </si>
  <si>
    <t>Blocks</t>
  </si>
  <si>
    <t>Miles</t>
  </si>
  <si>
    <t>Full-time</t>
  </si>
  <si>
    <t>Part-time</t>
  </si>
  <si>
    <t xml:space="preserve">City-to-city bus (Greyhound, Megabus) </t>
  </si>
  <si>
    <t>Less than 5 years ago</t>
  </si>
  <si>
    <t>5 to 10 years ago</t>
  </si>
  <si>
    <t>More than 10 years ago</t>
  </si>
  <si>
    <t>DESCRIPTION</t>
  </si>
  <si>
    <t>KEY VARIABLES</t>
  </si>
  <si>
    <t>MERGE RELATIONSHIPS</t>
  </si>
  <si>
    <t>A record in this table represents a household unit that had all of its residents aged 5+ complete all portions of the survey.</t>
  </si>
  <si>
    <t>PERSON (HOUSEID) 
VEHICLE (HOUSEID) 
TRIP (HOUSEID) 
LOCATION (HOUSEID)</t>
  </si>
  <si>
    <t>A record in this table represents an individual household member. Households were instructed to list all persons living in the household. Persons were ordered by the household member that initially responded to the survey invitation.</t>
  </si>
  <si>
    <t>HOUSEID, PERSONID</t>
  </si>
  <si>
    <t>HOUSEHOLD (HOUSEID) 
VEHICLE (HOUSEID, PERSONID = WHOMAIN) 
TRIP (HOUSEID, PERSONID) 
TRIP (HOUSEID, PERSONID = WHODROVE) 
LOCATION (HOUSEID, PERSONID)</t>
  </si>
  <si>
    <t>A record in this table represents a household vehicle. Participants were asked to list any vehicle that a household person owned, leased or had available for regular use, including motorcycles, mopeds and RVs.</t>
  </si>
  <si>
    <t>HOUSEID, VEHID</t>
  </si>
  <si>
    <t>HOUSEHOLD (HOUSEID) 
PERSON (HOUSEID, WHOMAIN = PERSONID) 
TRIP (HOUSEID, VEHID) 
LOCATION (HOUSEID)</t>
  </si>
  <si>
    <t>A record in this table represents a trip that was reported individually by a household person for the household's instructed travel date. For the travel day survey portion, participants were asked to report all locations they went to from 4am to 3:59am the next day, regardless of how long they were there, including trips that may have started and ended at the same location, like walk or bicycle trips for exercise.</t>
  </si>
  <si>
    <t>HOUSEID, PERSONID, TDTRPNUM</t>
  </si>
  <si>
    <t>HOUSEHOLD (HOUSEID) 
PERSON (HOUSEID, PERSONID) 
PERSON (HOUSEID, WHODROVE = PERSONID) 
VEHICLE (HOUSEID, VEHID) 
LOCATION (HOUSEID, LOCNO)</t>
  </si>
  <si>
    <t>A record in this table represents a place location reported at any level of the household. Every household has a home location record. Every person that is a student or worker has a location record. Every trip has a location record.</t>
  </si>
  <si>
    <t>HOUSEID, LOCNO</t>
  </si>
  <si>
    <t>HOUSEHOLD (HOUSEID) 
PERSON (HOUSEID, PERSONID) 
TRIP (HOUSEID, LOCNO)</t>
  </si>
  <si>
    <t>HOUSEHOLD_WEIGHTS_7DAY</t>
  </si>
  <si>
    <t>This table contains the weights and related factors required for generating household level population estimates.</t>
  </si>
  <si>
    <t>HOUSEHOLD (HOUSEID)</t>
  </si>
  <si>
    <t>PERSON_WEIGHTS_7DAY</t>
  </si>
  <si>
    <t>This table contains the weights and related factors required for generating person level population estimates.</t>
  </si>
  <si>
    <t>PERSON (HOUSEID, PERSONID)</t>
  </si>
  <si>
    <t>HOUSEHOLD_WEIGHTS_5DAY</t>
  </si>
  <si>
    <t>This table contains the weights and related factors required for generating weekday household level population estimates.</t>
  </si>
  <si>
    <t>PERSON_WEIGHTS_5DAY</t>
  </si>
  <si>
    <t>This table contains the weights and related factors required for generating weekday person level population estimates.</t>
  </si>
  <si>
    <t>Tables</t>
  </si>
  <si>
    <t>TABLE NAME</t>
  </si>
  <si>
    <t>GEOGADJCELL</t>
  </si>
  <si>
    <t>Geographic adjustment cell for all weighting stages</t>
  </si>
  <si>
    <t>HH_5D_RAKETRIMFAC</t>
  </si>
  <si>
    <t>Rake-trim final factor</t>
  </si>
  <si>
    <t>HOLIDAY5D_FLAG</t>
  </si>
  <si>
    <t>Holiday flag used in five-day weighting and analysis</t>
  </si>
  <si>
    <t>Household identifier</t>
  </si>
  <si>
    <t>JKCOEFS</t>
  </si>
  <si>
    <t>Jackknife coefficients for variance estimation</t>
  </si>
  <si>
    <t>NHTSBWT0</t>
  </si>
  <si>
    <t>Sample base weight</t>
  </si>
  <si>
    <t>POSTTRIM5D_FLAG</t>
  </si>
  <si>
    <t>Post-rake trimmed-weight flag</t>
  </si>
  <si>
    <t>PRETRIM5D_FLAG</t>
  </si>
  <si>
    <t>Pre-rake trimmed-weight flag</t>
  </si>
  <si>
    <t>PRETRIMHH5D_FAC</t>
  </si>
  <si>
    <t>Pre-rake trimmed factor</t>
  </si>
  <si>
    <t>RECFACTOR</t>
  </si>
  <si>
    <t>Recruitment nonresponse adjusted factor</t>
  </si>
  <si>
    <t>RETFACTOR</t>
  </si>
  <si>
    <t>Retrieval nonresponse adjusted factor</t>
  </si>
  <si>
    <t>UEFACTOR_F</t>
  </si>
  <si>
    <t>Unknown eligibility adjustment factor, always 1</t>
  </si>
  <si>
    <t>VARSTRAT</t>
  </si>
  <si>
    <t>Stratum for Taylor series estimation</t>
  </si>
  <si>
    <t>VARUNIT</t>
  </si>
  <si>
    <t>Variance unit for Taylor series estimation (cluster)</t>
  </si>
  <si>
    <t>WTHHFIN5D</t>
  </si>
  <si>
    <t>Final five-day household weight</t>
  </si>
  <si>
    <t>WTHHFIN5D*</t>
  </si>
  <si>
    <t>Final five-day household weight replicates, 1 through 98</t>
  </si>
  <si>
    <t>HH_7D_RAKETRIMFAC</t>
  </si>
  <si>
    <t>POSTTRIM7D_FLAG</t>
  </si>
  <si>
    <t>PRETRIM7D_FLAG</t>
  </si>
  <si>
    <t>PRETRIMHH7D_FAC</t>
  </si>
  <si>
    <t>WTHHFIN</t>
  </si>
  <si>
    <t>Final household weight</t>
  </si>
  <si>
    <t>WTHHFIN*</t>
  </si>
  <si>
    <t>Final household weight replicates, 1 through 98</t>
  </si>
  <si>
    <t>Person identifier</t>
  </si>
  <si>
    <t>PPOSTTRIM5D_FLAG</t>
  </si>
  <si>
    <t>PPRETRIM5D_FLAG</t>
  </si>
  <si>
    <t>PRETRIMPP5D_FAC</t>
  </si>
  <si>
    <t>PS_5D_RAKETRIMFAC</t>
  </si>
  <si>
    <t>WTPERFIN5D</t>
  </si>
  <si>
    <t>Final five-day person weight</t>
  </si>
  <si>
    <t>WTPERFIN5D*</t>
  </si>
  <si>
    <t>Final five-day person weight replicates, 1 through 98</t>
  </si>
  <si>
    <t>WTTRDFIN5D</t>
  </si>
  <si>
    <t>Final five-day trip weight</t>
  </si>
  <si>
    <t>WTTRDFIN5D*</t>
  </si>
  <si>
    <t>Final five-day trip weight replicates, 1 through 98</t>
  </si>
  <si>
    <t>PPOSTTRIM7D_FLAG</t>
  </si>
  <si>
    <t>PPRETRIM7D_FLAG</t>
  </si>
  <si>
    <t>PRETRIMPP7D_FAC</t>
  </si>
  <si>
    <t>PS_7D_RAKETRIMFAC</t>
  </si>
  <si>
    <t>WTPERFIN</t>
  </si>
  <si>
    <t>Final person weight</t>
  </si>
  <si>
    <t>WTPERFIN*</t>
  </si>
  <si>
    <t>Final person weight replicates, 1 through 98</t>
  </si>
  <si>
    <t>WTTRDFIN</t>
  </si>
  <si>
    <t>Final trip weight</t>
  </si>
  <si>
    <t>WTTRDFIN*</t>
  </si>
  <si>
    <t>Final trip weight replicates, 1 through 98</t>
  </si>
  <si>
    <t>Variables</t>
  </si>
  <si>
    <t>Sample Size</t>
  </si>
  <si>
    <t>Estimate</t>
  </si>
  <si>
    <t>SE</t>
  </si>
  <si>
    <t>Estimate (%)</t>
  </si>
  <si>
    <t>SE (%)</t>
  </si>
  <si>
    <t>-</t>
  </si>
  <si>
    <t>Responses</t>
  </si>
  <si>
    <t>Total</t>
  </si>
  <si>
    <t>1</t>
  </si>
  <si>
    <t>3</t>
  </si>
  <si>
    <t>2</t>
  </si>
  <si>
    <t>5</t>
  </si>
  <si>
    <t>4</t>
  </si>
  <si>
    <t>6</t>
  </si>
  <si>
    <t>7</t>
  </si>
  <si>
    <t>8</t>
  </si>
  <si>
    <t>9</t>
  </si>
  <si>
    <t>78</t>
  </si>
  <si>
    <t>79</t>
  </si>
  <si>
    <t>US/ARIZONA</t>
  </si>
  <si>
    <t>OWN HOME, RENT LOT</t>
  </si>
  <si>
    <t>LIVE WITH RELATIVE/ FRIEND/ PARTNER</t>
  </si>
  <si>
    <t>PROVIDED BY EMPLOYER</t>
  </si>
  <si>
    <t>GAME DEVICE</t>
  </si>
  <si>
    <t>TELEPHONE</t>
  </si>
  <si>
    <t>SMART TV</t>
  </si>
  <si>
    <t>IPAD</t>
  </si>
  <si>
    <t>SMART WATCH</t>
  </si>
  <si>
    <t>IPHONE</t>
  </si>
  <si>
    <t>PLAYSTATION 4</t>
  </si>
  <si>
    <t>TV MEDIA BOX</t>
  </si>
  <si>
    <t>KINDLE</t>
  </si>
  <si>
    <t>LIBRARY COMPUTER</t>
  </si>
  <si>
    <t>PORTABLE MEDIA DEVICES</t>
  </si>
  <si>
    <t>VIRTUAL ASSISTANT DEVICE</t>
  </si>
  <si>
    <t>I-PAD</t>
  </si>
  <si>
    <t>NO OTHERS</t>
  </si>
  <si>
    <t>PHONE</t>
  </si>
  <si>
    <t>SmartTV</t>
  </si>
  <si>
    <t>DO NOT HAVE INTERNET OR SMART PHONE</t>
  </si>
  <si>
    <t>IN-CAR COMPUTER</t>
  </si>
  <si>
    <t>CELL PHONE</t>
  </si>
  <si>
    <t>PUBLIC COMPUTER COLLEGE</t>
  </si>
  <si>
    <t>I TOUCH</t>
  </si>
  <si>
    <t>Smart TV</t>
  </si>
  <si>
    <t>HAVE ONLY LAPTOP &amp; PHONE</t>
  </si>
  <si>
    <t>Kindle Fire HD</t>
  </si>
  <si>
    <t>THE COMPUTER IS AT THE LIBRARY</t>
  </si>
  <si>
    <t>E-READER</t>
  </si>
  <si>
    <t>OLD CELL PHONE</t>
  </si>
  <si>
    <t>I PAD</t>
  </si>
  <si>
    <t>LAPTOP</t>
  </si>
  <si>
    <t>DON'T HAVE ANY OF THE ABOVE.</t>
  </si>
  <si>
    <t>INTERNET ACCESS LOCATIONS</t>
  </si>
  <si>
    <t>KINDLE FIRE</t>
  </si>
  <si>
    <t>LIBRARY COMPUTERS</t>
  </si>
  <si>
    <t>I- PAD</t>
  </si>
  <si>
    <t>DON'T</t>
  </si>
  <si>
    <t>MY CHILDREN COMPUTERS</t>
  </si>
  <si>
    <t>I DON'T HAVE COMPUTER &amp; DON'T WANT ONE</t>
  </si>
  <si>
    <t>PHABLET</t>
  </si>
  <si>
    <t>HOME P.C.</t>
  </si>
  <si>
    <t>I HAVE NONE</t>
  </si>
  <si>
    <t>KINDLE AND/OR IPOD</t>
  </si>
  <si>
    <t>NOOK</t>
  </si>
  <si>
    <t>TECHNOLOGY</t>
  </si>
  <si>
    <t>MORSE CODE</t>
  </si>
  <si>
    <t>APPLE IPAD</t>
  </si>
  <si>
    <t>CELL PHONE ONLY</t>
  </si>
  <si>
    <t>CELL PHONE NOT SMART</t>
  </si>
  <si>
    <t>I-PHONE/I-PAD</t>
  </si>
  <si>
    <t>GPS DEVICE</t>
  </si>
  <si>
    <t>LAPTOP COMPUTER DESKTOP COMPUTER</t>
  </si>
  <si>
    <t>CELL PHONE FLIP PHONE</t>
  </si>
  <si>
    <t>DO NOT USE INTERNET</t>
  </si>
  <si>
    <t>DON'T HAVE ANY OF THESE TECHNOLOGIES</t>
  </si>
  <si>
    <t>TELEPHONE LANDLINE</t>
  </si>
  <si>
    <t>EREADER</t>
  </si>
  <si>
    <t>I GOT WHEN I HAVE TO</t>
  </si>
  <si>
    <t>tablet</t>
  </si>
  <si>
    <t>NO COMPUTER</t>
  </si>
  <si>
    <t>370</t>
  </si>
  <si>
    <t>230</t>
  </si>
  <si>
    <t>134</t>
  </si>
  <si>
    <t>AZ</t>
  </si>
  <si>
    <t>MT</t>
  </si>
  <si>
    <t>MI</t>
  </si>
  <si>
    <t>WA</t>
  </si>
  <si>
    <t>MO</t>
  </si>
  <si>
    <t>OR</t>
  </si>
  <si>
    <t>NE</t>
  </si>
  <si>
    <t>GA</t>
  </si>
  <si>
    <t>KS</t>
  </si>
  <si>
    <t>TX</t>
  </si>
  <si>
    <t>NM</t>
  </si>
  <si>
    <t>HI</t>
  </si>
  <si>
    <t>NV</t>
  </si>
  <si>
    <t>CO</t>
  </si>
  <si>
    <t>201608</t>
  </si>
  <si>
    <t>201612</t>
  </si>
  <si>
    <t>201610</t>
  </si>
  <si>
    <t>201605</t>
  </si>
  <si>
    <t>201701</t>
  </si>
  <si>
    <t>201607</t>
  </si>
  <si>
    <t>201703</t>
  </si>
  <si>
    <t>201609</t>
  </si>
  <si>
    <t>201606</t>
  </si>
  <si>
    <t>201611</t>
  </si>
  <si>
    <t>201702</t>
  </si>
  <si>
    <t>201704</t>
  </si>
  <si>
    <t>201604</t>
  </si>
  <si>
    <t>274.0</t>
  </si>
  <si>
    <t>276.3</t>
  </si>
  <si>
    <t>270.1</t>
  </si>
  <si>
    <t>292.1</t>
  </si>
  <si>
    <t>274.8</t>
  </si>
  <si>
    <t>274.3</t>
  </si>
  <si>
    <t>263.7</t>
  </si>
  <si>
    <t>266.0</t>
  </si>
  <si>
    <t>263.8</t>
  </si>
  <si>
    <t>274.6</t>
  </si>
  <si>
    <t>265.6</t>
  </si>
  <si>
    <t>278.7</t>
  </si>
  <si>
    <t>271.2</t>
  </si>
  <si>
    <t>282.6</t>
  </si>
  <si>
    <t>267.7</t>
  </si>
  <si>
    <t>291.8</t>
  </si>
  <si>
    <t>265.9</t>
  </si>
  <si>
    <t>271.6</t>
  </si>
  <si>
    <t>273.4</t>
  </si>
  <si>
    <t>262.9</t>
  </si>
  <si>
    <t>292.0</t>
  </si>
  <si>
    <t>281.9</t>
  </si>
  <si>
    <t>291.7</t>
  </si>
  <si>
    <t>272.0</t>
  </si>
  <si>
    <t>290.3</t>
  </si>
  <si>
    <t>276.6</t>
  </si>
  <si>
    <t>262.3</t>
  </si>
  <si>
    <t>265.7</t>
  </si>
  <si>
    <t>280.1</t>
  </si>
  <si>
    <t>270.2</t>
  </si>
  <si>
    <t>279.7</t>
  </si>
  <si>
    <t>295.1</t>
  </si>
  <si>
    <t>263.5</t>
  </si>
  <si>
    <t>266.3</t>
  </si>
  <si>
    <t>269.9</t>
  </si>
  <si>
    <t>273.8</t>
  </si>
  <si>
    <t>275.3</t>
  </si>
  <si>
    <t>272.4</t>
  </si>
  <si>
    <t>283.2</t>
  </si>
  <si>
    <t>278.6</t>
  </si>
  <si>
    <t>278.5</t>
  </si>
  <si>
    <t>286.7</t>
  </si>
  <si>
    <t>294.1</t>
  </si>
  <si>
    <t>271.7</t>
  </si>
  <si>
    <t>274.5</t>
  </si>
  <si>
    <t>271.0</t>
  </si>
  <si>
    <t>274.4</t>
  </si>
  <si>
    <t>259.6</t>
  </si>
  <si>
    <t>230.2</t>
  </si>
  <si>
    <t>236.5</t>
  </si>
  <si>
    <t>225.9</t>
  </si>
  <si>
    <t>229.7</t>
  </si>
  <si>
    <t>219.2</t>
  </si>
  <si>
    <t>245.4</t>
  </si>
  <si>
    <t>205.4</t>
  </si>
  <si>
    <t>208.7</t>
  </si>
  <si>
    <t>221.0</t>
  </si>
  <si>
    <t>XXXXX</t>
  </si>
  <si>
    <t>66</t>
  </si>
  <si>
    <t>68</t>
  </si>
  <si>
    <t>96</t>
  </si>
  <si>
    <t>SEMI-TRUCK</t>
  </si>
  <si>
    <t>PASSENGER OF UNKNOWN MODE</t>
  </si>
  <si>
    <t>No Travel Necessary</t>
  </si>
  <si>
    <t>COMPANY VEHICLE</t>
  </si>
  <si>
    <t>NO TRAVEL NECESSARY</t>
  </si>
  <si>
    <t>120</t>
  </si>
  <si>
    <t>420</t>
  </si>
  <si>
    <t>130</t>
  </si>
  <si>
    <t>440</t>
  </si>
  <si>
    <t>220</t>
  </si>
  <si>
    <t>390</t>
  </si>
  <si>
    <t>180</t>
  </si>
  <si>
    <t>105</t>
  </si>
  <si>
    <t>00</t>
  </si>
  <si>
    <t>AM</t>
  </si>
  <si>
    <t>PM</t>
  </si>
  <si>
    <t>2003</t>
  </si>
  <si>
    <t>2016</t>
  </si>
  <si>
    <t>2005</t>
  </si>
  <si>
    <t>1998</t>
  </si>
  <si>
    <t>2010</t>
  </si>
  <si>
    <t>2009</t>
  </si>
  <si>
    <t>1996</t>
  </si>
  <si>
    <t>2012</t>
  </si>
  <si>
    <t>2013</t>
  </si>
  <si>
    <t>1983</t>
  </si>
  <si>
    <t>2002</t>
  </si>
  <si>
    <t>1980</t>
  </si>
  <si>
    <t>1986</t>
  </si>
  <si>
    <t>1999</t>
  </si>
  <si>
    <t>1991</t>
  </si>
  <si>
    <t>1985</t>
  </si>
  <si>
    <t>1987</t>
  </si>
  <si>
    <t>2004</t>
  </si>
  <si>
    <t>1956</t>
  </si>
  <si>
    <t>1977</t>
  </si>
  <si>
    <t>1993</t>
  </si>
  <si>
    <t>2006</t>
  </si>
  <si>
    <t>1963</t>
  </si>
  <si>
    <t>2011</t>
  </si>
  <si>
    <t>1979</t>
  </si>
  <si>
    <t>2007</t>
  </si>
  <si>
    <t>1976</t>
  </si>
  <si>
    <t>1988</t>
  </si>
  <si>
    <t>1970</t>
  </si>
  <si>
    <t>2008</t>
  </si>
  <si>
    <t>1975</t>
  </si>
  <si>
    <t>1952</t>
  </si>
  <si>
    <t>1957</t>
  </si>
  <si>
    <t>1982</t>
  </si>
  <si>
    <t>1992</t>
  </si>
  <si>
    <t>2000</t>
  </si>
  <si>
    <t>1997</t>
  </si>
  <si>
    <t>1966</t>
  </si>
  <si>
    <t>1994</t>
  </si>
  <si>
    <t>1995</t>
  </si>
  <si>
    <t>1962</t>
  </si>
  <si>
    <t>2015</t>
  </si>
  <si>
    <t>1959</t>
  </si>
  <si>
    <t>1972</t>
  </si>
  <si>
    <t>1971</t>
  </si>
  <si>
    <t>1984</t>
  </si>
  <si>
    <t>1961</t>
  </si>
  <si>
    <t>1968</t>
  </si>
  <si>
    <t>1960</t>
  </si>
  <si>
    <t>1990</t>
  </si>
  <si>
    <t>1978</t>
  </si>
  <si>
    <t>2017</t>
  </si>
  <si>
    <t>1974</t>
  </si>
  <si>
    <t>1969</t>
  </si>
  <si>
    <t>1973</t>
  </si>
  <si>
    <t>1981</t>
  </si>
  <si>
    <t>1965</t>
  </si>
  <si>
    <t>1948</t>
  </si>
  <si>
    <t>1946</t>
  </si>
  <si>
    <t>1950</t>
  </si>
  <si>
    <t>2014</t>
  </si>
  <si>
    <t>1967</t>
  </si>
  <si>
    <t>1964</t>
  </si>
  <si>
    <t>1955</t>
  </si>
  <si>
    <t>1944</t>
  </si>
  <si>
    <t>1989</t>
  </si>
  <si>
    <t>1958</t>
  </si>
  <si>
    <t>1947</t>
  </si>
  <si>
    <t>1954</t>
  </si>
  <si>
    <t>1949</t>
  </si>
  <si>
    <t>1951</t>
  </si>
  <si>
    <t>NO NEED, REASON, DESIRE, OR PLACE TO TRAVEL TO</t>
  </si>
  <si>
    <t>UNEMPLOYED</t>
  </si>
  <si>
    <t>HOSTING GUESTS</t>
  </si>
  <si>
    <t>RETIRED</t>
  </si>
  <si>
    <t>RESPONSE INDICATES TRAVEL</t>
  </si>
  <si>
    <t>FINANCIAL REASON</t>
  </si>
  <si>
    <t>INCLEMENT WEATHER</t>
  </si>
  <si>
    <t>WAITING ON GOOD OR SERVICE</t>
  </si>
  <si>
    <t>WORKED FOR DURATION OF TRAVEL DAY</t>
  </si>
  <si>
    <t>MEXICAN</t>
  </si>
  <si>
    <t>HISPANIC</t>
  </si>
  <si>
    <t>HISPANIC OR LATINO</t>
  </si>
  <si>
    <t>CHICANO</t>
  </si>
  <si>
    <t>LATINO</t>
  </si>
  <si>
    <t>MULTIRACIAL</t>
  </si>
  <si>
    <t>AFRICAN AMERICAN, WHITE</t>
  </si>
  <si>
    <t>PORTUGUESE</t>
  </si>
  <si>
    <t>LATIN</t>
  </si>
  <si>
    <t>SPANISH</t>
  </si>
  <si>
    <t>AMERICAN</t>
  </si>
  <si>
    <t>AFRICAN AMERICAN, WHITE, NATIVE AMERICAN, HISPANIC</t>
  </si>
  <si>
    <t>ASIAN, WHITE</t>
  </si>
  <si>
    <t>ENGLISH, ITALIAN</t>
  </si>
  <si>
    <t>IRISH, RUSSIAN, ITALIAN</t>
  </si>
  <si>
    <t>IRISH, SPANISH, NATIVE AMERICAN, HISPANIC</t>
  </si>
  <si>
    <t>CUBAN</t>
  </si>
  <si>
    <t>RUSSIAN</t>
  </si>
  <si>
    <t>ASIAN, HISPANIC</t>
  </si>
  <si>
    <t>COLOMBIAN</t>
  </si>
  <si>
    <t>MIDDLE EASTERN</t>
  </si>
  <si>
    <t>BASQUE</t>
  </si>
  <si>
    <t>LATIN, WHITE</t>
  </si>
  <si>
    <t>PUERTO RICAN</t>
  </si>
  <si>
    <t>POLISH</t>
  </si>
  <si>
    <t>CREOLE</t>
  </si>
  <si>
    <t>GERMAN, MEXICAN</t>
  </si>
  <si>
    <t>ENGLISH, IRISH</t>
  </si>
  <si>
    <t>BRITISH</t>
  </si>
  <si>
    <t>RESPIRATORY ASSISTANCE</t>
  </si>
  <si>
    <t>BRACE</t>
  </si>
  <si>
    <t>PHYSICAL ASSISTANCE FROM OTHERS</t>
  </si>
  <si>
    <t>KNEE SCOOTER</t>
  </si>
  <si>
    <t>1923</t>
  </si>
  <si>
    <t>1927</t>
  </si>
  <si>
    <t>1935</t>
  </si>
  <si>
    <t>1937</t>
  </si>
  <si>
    <t>1930</t>
  </si>
  <si>
    <t>1931</t>
  </si>
  <si>
    <t>1941</t>
  </si>
  <si>
    <t>1932</t>
  </si>
  <si>
    <t>high octane</t>
  </si>
  <si>
    <t>Mix of high octane/regulr</t>
  </si>
  <si>
    <t>only electric</t>
  </si>
  <si>
    <t>Propane and gasoline</t>
  </si>
  <si>
    <t>ATV/UTV</t>
  </si>
  <si>
    <t>Golf Cart</t>
  </si>
  <si>
    <t>Golf cart</t>
  </si>
  <si>
    <t>golf cart</t>
  </si>
  <si>
    <t>GOLF CART</t>
  </si>
  <si>
    <t>TRACTOR</t>
  </si>
  <si>
    <t>E85</t>
  </si>
  <si>
    <t>GAS &amp; PROPANE</t>
  </si>
  <si>
    <t>Electric Golf Cart</t>
  </si>
  <si>
    <t>flexfuel</t>
  </si>
  <si>
    <t>1000000</t>
  </si>
  <si>
    <t>1000001</t>
  </si>
  <si>
    <t>1000002</t>
  </si>
  <si>
    <t>1000003</t>
  </si>
  <si>
    <t>102</t>
  </si>
  <si>
    <t>202</t>
  </si>
  <si>
    <t>303</t>
  </si>
  <si>
    <t>1000004</t>
  </si>
  <si>
    <t>1000005</t>
  </si>
  <si>
    <t>1000006</t>
  </si>
  <si>
    <t>302</t>
  </si>
  <si>
    <t>1000007</t>
  </si>
  <si>
    <t>203</t>
  </si>
  <si>
    <t>1000008</t>
  </si>
  <si>
    <t>503</t>
  </si>
  <si>
    <t>1000009</t>
  </si>
  <si>
    <t>703</t>
  </si>
  <si>
    <t>402</t>
  </si>
  <si>
    <t>103</t>
  </si>
  <si>
    <t>1000010</t>
  </si>
  <si>
    <t>1000011</t>
  </si>
  <si>
    <t>502</t>
  </si>
  <si>
    <t>1000012</t>
  </si>
  <si>
    <t>603</t>
  </si>
  <si>
    <t>1000013</t>
  </si>
  <si>
    <t>1000014</t>
  </si>
  <si>
    <t>602</t>
  </si>
  <si>
    <t>702</t>
  </si>
  <si>
    <t>1000015</t>
  </si>
  <si>
    <t>1000016</t>
  </si>
  <si>
    <t>1000017</t>
  </si>
  <si>
    <t>1000018</t>
  </si>
  <si>
    <t>803</t>
  </si>
  <si>
    <t>1000020</t>
  </si>
  <si>
    <t>1000019</t>
  </si>
  <si>
    <t>0.5</t>
  </si>
  <si>
    <t>0.25</t>
  </si>
  <si>
    <t>1.5</t>
  </si>
  <si>
    <t>0.1</t>
  </si>
  <si>
    <t>0.75</t>
  </si>
  <si>
    <t>4.5</t>
  </si>
  <si>
    <t>0.00568</t>
  </si>
  <si>
    <t>0.125</t>
  </si>
  <si>
    <t>1.80</t>
  </si>
  <si>
    <t>2.43207532685119</t>
  </si>
  <si>
    <t>1.3</t>
  </si>
  <si>
    <t>0.15369586524116</t>
  </si>
  <si>
    <t>0.50</t>
  </si>
  <si>
    <t>0.08</t>
  </si>
  <si>
    <t>0.849631251189814</t>
  </si>
  <si>
    <t>0.764745364803262</t>
  </si>
  <si>
    <t>2.5</t>
  </si>
  <si>
    <t>0.359595167560821</t>
  </si>
  <si>
    <t>0.10</t>
  </si>
  <si>
    <t>0.056</t>
  </si>
  <si>
    <t>0.7</t>
  </si>
  <si>
    <t>1.46168636209789</t>
  </si>
  <si>
    <t>12.0008179968179</t>
  </si>
  <si>
    <t>0.474047848415347</t>
  </si>
  <si>
    <t>375</t>
  </si>
  <si>
    <t>0.00473485</t>
  </si>
  <si>
    <t>3.5</t>
  </si>
  <si>
    <t>2.60965903009125</t>
  </si>
  <si>
    <t>3.4</t>
  </si>
  <si>
    <t>2.07</t>
  </si>
  <si>
    <t>0.353738740408044</t>
  </si>
  <si>
    <t>2.1</t>
  </si>
  <si>
    <t>0.0790391929045372</t>
  </si>
  <si>
    <t>2.2</t>
  </si>
  <si>
    <t>1.75</t>
  </si>
  <si>
    <t>0.0095</t>
  </si>
  <si>
    <t>0.01</t>
  </si>
  <si>
    <t>0.991559845478736</t>
  </si>
  <si>
    <t>19.7</t>
  </si>
  <si>
    <t>0.0625</t>
  </si>
  <si>
    <t>1.2</t>
  </si>
  <si>
    <t>0.872298027844804</t>
  </si>
  <si>
    <t>0.02</t>
  </si>
  <si>
    <t>0.3</t>
  </si>
  <si>
    <t>196</t>
  </si>
  <si>
    <t>1.1</t>
  </si>
  <si>
    <t>3.59817339216153</t>
  </si>
  <si>
    <t>6.59068451660854</t>
  </si>
  <si>
    <t>1.15</t>
  </si>
  <si>
    <t>0.0315117932415835</t>
  </si>
  <si>
    <t>0.901387724574541</t>
  </si>
  <si>
    <t>2.0</t>
  </si>
  <si>
    <t>0.242741437940501</t>
  </si>
  <si>
    <t>1.37514455724145</t>
  </si>
  <si>
    <t>2.66456885018737</t>
  </si>
  <si>
    <t>1.25</t>
  </si>
  <si>
    <t>0.20</t>
  </si>
  <si>
    <t>0.259137724867066</t>
  </si>
  <si>
    <t>4.04320359291135</t>
  </si>
  <si>
    <t>1.47725142656653</t>
  </si>
  <si>
    <t>0.325949070462951</t>
  </si>
  <si>
    <t>0.0489609323436892</t>
  </si>
  <si>
    <t>1.65607080971565</t>
  </si>
  <si>
    <t>0.0932526087553526</t>
  </si>
  <si>
    <t>18.6</t>
  </si>
  <si>
    <t>3.8</t>
  </si>
  <si>
    <t>0.512144391203867</t>
  </si>
  <si>
    <t>0.29680856856977</t>
  </si>
  <si>
    <t>0.662797740945444</t>
  </si>
  <si>
    <t>2.69636368187792</t>
  </si>
  <si>
    <t>0.284112243683817</t>
  </si>
  <si>
    <t>1.8</t>
  </si>
  <si>
    <t>SCOOTER/SKATEBOARD/SKATES</t>
  </si>
  <si>
    <t>SEMI TRUCK</t>
  </si>
  <si>
    <t>BOX TRUCK</t>
  </si>
  <si>
    <t>WHEELCHAIR/MOBILITY SCOOTER</t>
  </si>
  <si>
    <t>TRUCK</t>
  </si>
  <si>
    <t>emergency vehicle</t>
  </si>
  <si>
    <t>horse-drawn vehicle</t>
  </si>
  <si>
    <t>240</t>
  </si>
  <si>
    <t>accompany companion</t>
  </si>
  <si>
    <t>UNEXPECTED DISRUPTION</t>
  </si>
  <si>
    <t>In Transit</t>
  </si>
  <si>
    <t>ACCOMPANY COMPANION</t>
  </si>
  <si>
    <t>NO MODE - DIRECT PICK UP</t>
  </si>
  <si>
    <t>NO MODE - DIRECT DROP OFF</t>
  </si>
  <si>
    <t>903</t>
  </si>
  <si>
    <t>AR</t>
  </si>
  <si>
    <t>B.C.</t>
  </si>
  <si>
    <t>BC</t>
  </si>
  <si>
    <t>BY</t>
  </si>
  <si>
    <t>CA</t>
  </si>
  <si>
    <t>DC</t>
  </si>
  <si>
    <t>FL</t>
  </si>
  <si>
    <t>GRAND CAYMAN</t>
  </si>
  <si>
    <t>IA</t>
  </si>
  <si>
    <t>IL</t>
  </si>
  <si>
    <t>KY</t>
  </si>
  <si>
    <t>MA</t>
  </si>
  <si>
    <t>MD</t>
  </si>
  <si>
    <t>MN</t>
  </si>
  <si>
    <t>NC</t>
  </si>
  <si>
    <t>OH</t>
  </si>
  <si>
    <t>ON</t>
  </si>
  <si>
    <t>PA</t>
  </si>
  <si>
    <t>SON.</t>
  </si>
  <si>
    <t>TN</t>
  </si>
  <si>
    <t>UT</t>
  </si>
  <si>
    <t>VA</t>
  </si>
  <si>
    <t>WI</t>
  </si>
  <si>
    <t>WV</t>
  </si>
  <si>
    <t>CANADA</t>
  </si>
  <si>
    <t>CAYMAN ISLANDS</t>
  </si>
  <si>
    <t>GERMANY</t>
  </si>
  <si>
    <t>MEXICO</t>
  </si>
  <si>
    <t>NA</t>
  </si>
  <si>
    <t>UNITED KINGDOM</t>
  </si>
  <si>
    <t>USA</t>
  </si>
  <si>
    <t>001</t>
  </si>
  <si>
    <t>003</t>
  </si>
  <si>
    <t>005</t>
  </si>
  <si>
    <t>007</t>
  </si>
  <si>
    <t>009</t>
  </si>
  <si>
    <t>011</t>
  </si>
  <si>
    <t>012</t>
  </si>
  <si>
    <t>013</t>
  </si>
  <si>
    <t>015</t>
  </si>
  <si>
    <t>017</t>
  </si>
  <si>
    <t>019</t>
  </si>
  <si>
    <t>021</t>
  </si>
  <si>
    <t>023</t>
  </si>
  <si>
    <t>025</t>
  </si>
  <si>
    <t>027</t>
  </si>
  <si>
    <t>029</t>
  </si>
  <si>
    <t>031</t>
  </si>
  <si>
    <t>033</t>
  </si>
  <si>
    <t>035</t>
  </si>
  <si>
    <t>037</t>
  </si>
  <si>
    <t>039</t>
  </si>
  <si>
    <t>041</t>
  </si>
  <si>
    <t>043</t>
  </si>
  <si>
    <t>045</t>
  </si>
  <si>
    <t>047</t>
  </si>
  <si>
    <t>049</t>
  </si>
  <si>
    <t>051</t>
  </si>
  <si>
    <t>053</t>
  </si>
  <si>
    <t>055</t>
  </si>
  <si>
    <t>057</t>
  </si>
  <si>
    <t>059</t>
  </si>
  <si>
    <t>061</t>
  </si>
  <si>
    <t>063</t>
  </si>
  <si>
    <t>065</t>
  </si>
  <si>
    <t>067</t>
  </si>
  <si>
    <t>071</t>
  </si>
  <si>
    <t>073</t>
  </si>
  <si>
    <t>075</t>
  </si>
  <si>
    <t>079</t>
  </si>
  <si>
    <t>081</t>
  </si>
  <si>
    <t>085</t>
  </si>
  <si>
    <t>087</t>
  </si>
  <si>
    <t>089</t>
  </si>
  <si>
    <t>093</t>
  </si>
  <si>
    <t>095</t>
  </si>
  <si>
    <t>099</t>
  </si>
  <si>
    <t>101</t>
  </si>
  <si>
    <t>109</t>
  </si>
  <si>
    <t>111</t>
  </si>
  <si>
    <t>113</t>
  </si>
  <si>
    <t>117</t>
  </si>
  <si>
    <t>119</t>
  </si>
  <si>
    <t>123</t>
  </si>
  <si>
    <t>125</t>
  </si>
  <si>
    <t>133</t>
  </si>
  <si>
    <t>139</t>
  </si>
  <si>
    <t>141</t>
  </si>
  <si>
    <t>153</t>
  </si>
  <si>
    <t>155</t>
  </si>
  <si>
    <t>157</t>
  </si>
  <si>
    <t>163</t>
  </si>
  <si>
    <t>165</t>
  </si>
  <si>
    <t>167</t>
  </si>
  <si>
    <t>169</t>
  </si>
  <si>
    <t>173</t>
  </si>
  <si>
    <t>177</t>
  </si>
  <si>
    <t>179</t>
  </si>
  <si>
    <t>183</t>
  </si>
  <si>
    <t>189</t>
  </si>
  <si>
    <t>201</t>
  </si>
  <si>
    <t>217</t>
  </si>
  <si>
    <t>423</t>
  </si>
  <si>
    <t>439</t>
  </si>
  <si>
    <t>483</t>
  </si>
  <si>
    <t>106</t>
  </si>
  <si>
    <t>108</t>
  </si>
  <si>
    <t>140</t>
  </si>
  <si>
    <t>148</t>
  </si>
  <si>
    <t>170</t>
  </si>
  <si>
    <t>172</t>
  </si>
  <si>
    <t>176</t>
  </si>
  <si>
    <t>178</t>
  </si>
  <si>
    <t>188</t>
  </si>
  <si>
    <t>206</t>
  </si>
  <si>
    <t>216</t>
  </si>
  <si>
    <t>218</t>
  </si>
  <si>
    <t>238</t>
  </si>
  <si>
    <t>260</t>
  </si>
  <si>
    <t>266</t>
  </si>
  <si>
    <t>273</t>
  </si>
  <si>
    <t>288</t>
  </si>
  <si>
    <t>312</t>
  </si>
  <si>
    <t>314</t>
  </si>
  <si>
    <t>332</t>
  </si>
  <si>
    <t>348</t>
  </si>
  <si>
    <t>368</t>
  </si>
  <si>
    <t>376</t>
  </si>
  <si>
    <t>378</t>
  </si>
  <si>
    <t>408</t>
  </si>
  <si>
    <t>422</t>
  </si>
  <si>
    <t>428</t>
  </si>
  <si>
    <t>456</t>
  </si>
  <si>
    <t>462</t>
  </si>
  <si>
    <t>472</t>
  </si>
  <si>
    <t>476</t>
  </si>
  <si>
    <t>482</t>
  </si>
  <si>
    <t>488</t>
  </si>
  <si>
    <t>500</t>
  </si>
  <si>
    <t>536</t>
  </si>
  <si>
    <t>540</t>
  </si>
  <si>
    <t>548</t>
  </si>
  <si>
    <t>556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</si>
</sst>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1"/>
      <color rgb="FF000000"/>
      <name val="Calibri"/>
      <family val="2"/>
      <scheme val="minor"/>
    </font>
    <font>
      <b/>
      <sz val="9"/>
      <color rgb="FFFFFFFF"/>
      <name val="Calibri"/>
    </font>
    <font>
      <sz val="9"/>
      <color rgb="FF000000"/>
      <name val="Calibri"/>
    </font>
    <font>
      <b/>
      <sz val="9"/>
      <color rgb="FF000000"/>
      <name val="Calibri"/>
    </font>
    <font>
      <u/>
      <sz val="9"/>
      <color rgb="FF0000FF"/>
      <name val="Calibri"/>
    </font>
    <font>
      <b/>
      <sz val="11"/>
      <color rgb="FF000000"/>
      <name val="Calibri"/>
    </font>
    <font>
      <b/>
      <sz val="10"/>
      <color rgb="FF000000"/>
      <name val="Calibri"/>
    </font>
  </fonts>
  <fills count="7">
    <fill>
      <patternFill patternType="none"/>
    </fill>
    <fill>
      <patternFill patternType="gray125"/>
    </fill>
    <fill>
      <patternFill patternType="solid">
        <fgColor rgb="FF00008B"/>
      </patternFill>
    </fill>
    <fill>
      <patternFill patternType="solid">
        <fgColor rgb="FFFFFFE0"/>
      </patternFill>
    </fill>
    <fill>
      <patternFill patternType="solid">
        <fgColor rgb="FF6495ED"/>
      </patternFill>
    </fill>
    <fill>
      <patternFill patternType="solid">
        <fgColor rgb="FFFFFFFF"/>
      </patternFill>
    </fill>
    <fill>
      <patternFill patternType="solid">
        <fgColor rgb="FFE5E5E5"/>
      </patternFill>
    </fill>
  </fills>
  <borders count="1">
    <border>
      <left/>
      <right/>
      <top/>
      <bottom/>
      <diagonal/>
    </border>
  </borders>
  <cellStyleXfs count="1">
    <xf numFmtId="0" fontId="0" fillId="0" borderId="0"/>
  </cellStyleXfs>
  <cellXfs count="3356">
    <xf numFmtId="0" fontId="0" fillId="0" borderId="0" xfId="0"/>
    <xf numFmtId="0" fontId="1" fillId="2" borderId="0" xfId="0" applyFont="1" applyFill="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top" wrapText="1"/>
    </xf>
    <xf numFmtId="0" fontId="4" fillId="0" borderId="0" xfId="0" applyFont="1" applyAlignment="1">
      <alignment horizontal="left" vertical="top" wrapText="1"/>
    </xf>
    <xf numFmtId="0" fontId="2" fillId="0" borderId="0" xfId="0" applyFont="1" applyAlignment="1">
      <alignment horizontal="right" vertical="top" wrapText="1"/>
    </xf>
    <xf numFmtId="0" fontId="2" fillId="5" borderId="0" xfId="0" applyFont="1" applyFill="1"/>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0" fontId="2" fillId="6" borderId="0" xfId="0" applyFont="1" applyFill="1"/>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0" fontId="5" fillId="3" borderId="0" xfId="0" applyFont="1" applyFill="1" applyAlignment="1">
      <alignment horizontal="center" vertical="center"/>
    </xf>
    <xf numFmtId="0" fontId="6" fillId="3" borderId="0" xfId="0" applyFont="1" applyFill="1" applyAlignment="1">
      <alignment wrapText="1"/>
    </xf>
    <xf numFmtId="0" fontId="0" fillId="0" borderId="0" xfId="0"/>
    <xf numFmtId="0" fontId="6" fillId="4"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L411"/>
  <sheetViews>
    <sheetView tabSelected="1" workbookViewId="0">
      <pane ySplit="1" topLeftCell="A2" activePane="bottomLeft" state="frozen"/>
      <selection pane="bottomLeft" activeCell="J2" sqref="J2"/>
    </sheetView>
  </sheetViews>
  <sheetFormatPr defaultRowHeight="15" x14ac:dyDescent="0.25"/>
  <cols>
    <col min="1" max="1" width="13.7109375" customWidth="1"/>
    <col min="2" max="3" width="34.7109375" customWidth="1"/>
    <col min="4" max="11" width="13.7109375" customWidth="1"/>
    <col min="12" max="12" width="42.7109375" customWidth="1"/>
  </cols>
  <sheetData>
    <row r="1" spans="1:12" ht="30" customHeight="1" x14ac:dyDescent="0.25">
      <c r="A1" s="1" t="s">
        <v>0</v>
      </c>
      <c r="B1" s="1" t="s">
        <v>1</v>
      </c>
      <c r="C1" s="1" t="s">
        <v>2</v>
      </c>
      <c r="D1" s="1" t="s">
        <v>3</v>
      </c>
      <c r="E1" s="1" t="s">
        <v>4</v>
      </c>
      <c r="F1" s="1" t="s">
        <v>5</v>
      </c>
      <c r="G1" s="1" t="s">
        <v>6</v>
      </c>
      <c r="H1" s="1" t="s">
        <v>7</v>
      </c>
      <c r="I1" s="1" t="s">
        <v>8</v>
      </c>
      <c r="J1" s="1" t="s">
        <v>9</v>
      </c>
      <c r="K1" s="1" t="s">
        <v>10</v>
      </c>
      <c r="L1" s="1" t="s">
        <v>11</v>
      </c>
    </row>
    <row r="2" spans="1:12" ht="50.1" customHeight="1" x14ac:dyDescent="0.25">
      <c r="A2" s="3" t="s">
        <v>273</v>
      </c>
      <c r="B2" s="2" t="s">
        <v>274</v>
      </c>
      <c r="C2" s="2"/>
      <c r="D2" s="2" t="s">
        <v>15</v>
      </c>
      <c r="E2" s="2" t="str">
        <f>IF(ISERROR("HOUSEID"),"","NA")</f>
        <v>NA</v>
      </c>
      <c r="F2" s="4" t="str">
        <f>IF(ISERROR("HOUSEID"),"",HYPERLINK("#INDEX('Frequencies'!A:A,MATCH(A" &amp; ROW() &amp; ",'Frequencies'!A:A,0))","Frequencies"))</f>
        <v>Frequencies</v>
      </c>
      <c r="G2" s="2">
        <v>1</v>
      </c>
      <c r="H2" s="2">
        <v>1</v>
      </c>
      <c r="I2" s="2">
        <v>1</v>
      </c>
      <c r="J2" s="2">
        <v>1</v>
      </c>
      <c r="K2" s="2">
        <v>1</v>
      </c>
      <c r="L2" s="2"/>
    </row>
    <row r="3" spans="1:12" ht="50.1" customHeight="1" x14ac:dyDescent="0.25">
      <c r="A3" s="3" t="s">
        <v>496</v>
      </c>
      <c r="B3" s="2" t="s">
        <v>497</v>
      </c>
      <c r="C3" s="2"/>
      <c r="D3" s="2" t="s">
        <v>15</v>
      </c>
      <c r="E3" s="2" t="str">
        <f>IF(ISERROR("PERSONID"),"","NA")</f>
        <v>NA</v>
      </c>
      <c r="F3" s="4" t="str">
        <f>IF(ISERROR("PERSONID"),"",HYPERLINK("#INDEX('Frequencies'!A:A,MATCH(A" &amp; ROW() &amp; ",'Frequencies'!A:A,0))","Frequencies"))</f>
        <v>Frequencies</v>
      </c>
      <c r="G3" s="2"/>
      <c r="H3" s="2">
        <v>2</v>
      </c>
      <c r="I3" s="2"/>
      <c r="J3" s="2">
        <v>2</v>
      </c>
      <c r="K3" s="2">
        <v>3</v>
      </c>
      <c r="L3" s="2"/>
    </row>
    <row r="4" spans="1:12" ht="50.1" hidden="1" customHeight="1" x14ac:dyDescent="0.25">
      <c r="A4" s="3" t="s">
        <v>494</v>
      </c>
      <c r="B4" s="2" t="s">
        <v>495</v>
      </c>
      <c r="C4" s="2"/>
      <c r="D4" s="2" t="s">
        <v>15</v>
      </c>
      <c r="E4" s="2" t="str">
        <f>IF(ISERROR("PERINDT2"),"","NA")</f>
        <v>NA</v>
      </c>
      <c r="F4" s="4" t="str">
        <f>IF(ISERROR("PERINDT2"),"",HYPERLINK("#INDEX('Frequencies'!A:A,MATCH(A" &amp; ROW() &amp; ",'Frequencies'!A:A,0))","Frequencies"))</f>
        <v>Frequencies</v>
      </c>
      <c r="G4" s="2"/>
      <c r="H4" s="2">
        <v>3</v>
      </c>
      <c r="I4" s="2"/>
      <c r="J4" s="2"/>
      <c r="K4" s="2"/>
      <c r="L4" s="2"/>
    </row>
    <row r="5" spans="1:12" ht="50.1" hidden="1" customHeight="1" x14ac:dyDescent="0.25">
      <c r="A5" s="3" t="s">
        <v>555</v>
      </c>
      <c r="B5" s="2" t="s">
        <v>556</v>
      </c>
      <c r="C5" s="2" t="s">
        <v>557</v>
      </c>
      <c r="D5" s="2" t="s">
        <v>41</v>
      </c>
      <c r="E5" s="2" t="str">
        <f>IF(ISERROR("R_AGE"),"","Range: 0 - 110")</f>
        <v>Range: 0 - 110</v>
      </c>
      <c r="F5" s="4" t="str">
        <f>IF(ISERROR("R_AGE"),"",HYPERLINK("#INDEX('Frequencies'!A:A,MATCH(A" &amp; ROW() &amp; ",'Frequencies'!A:A,0))","Frequencies"))</f>
        <v>Frequencies</v>
      </c>
      <c r="G5" s="2"/>
      <c r="H5" s="2">
        <v>4</v>
      </c>
      <c r="I5" s="2"/>
      <c r="J5" s="2"/>
      <c r="K5" s="2"/>
      <c r="L5" s="2"/>
    </row>
    <row r="6" spans="1:12" ht="50.1" hidden="1" customHeight="1" x14ac:dyDescent="0.25">
      <c r="A6" s="3" t="s">
        <v>12</v>
      </c>
      <c r="B6" s="2" t="s">
        <v>13</v>
      </c>
      <c r="C6" s="2" t="s">
        <v>14</v>
      </c>
      <c r="D6" s="2" t="s">
        <v>15</v>
      </c>
      <c r="E6" s="4" t="str">
        <f>IF(ISERROR("AGERANGE"),"",HYPERLINK("#INDEX('Value Lookup'!A:A,MATCH(A" &amp; ROW() &amp; ",'Value Lookup'!A:A,0))","Value Lookup"))</f>
        <v>Value Lookup</v>
      </c>
      <c r="F6" s="4" t="str">
        <f>IF(ISERROR("AGERANGE"),"",HYPERLINK("#INDEX('Frequencies'!A:A,MATCH(A" &amp; ROW() &amp; ",'Frequencies'!A:A,0))","Frequencies"))</f>
        <v>Frequencies</v>
      </c>
      <c r="G6" s="2"/>
      <c r="H6" s="2">
        <v>5</v>
      </c>
      <c r="I6" s="2"/>
      <c r="J6" s="2"/>
      <c r="K6" s="2"/>
      <c r="L6" s="2"/>
    </row>
    <row r="7" spans="1:12" ht="50.1" hidden="1" customHeight="1" x14ac:dyDescent="0.25">
      <c r="A7" s="3" t="s">
        <v>157</v>
      </c>
      <c r="B7" s="2" t="s">
        <v>158</v>
      </c>
      <c r="C7" s="2" t="s">
        <v>159</v>
      </c>
      <c r="D7" s="2" t="s">
        <v>15</v>
      </c>
      <c r="E7" s="4" t="str">
        <f>IF(ISERROR("DRVR"),"",HYPERLINK("#INDEX('Value Lookup'!A:A,MATCH(A" &amp; ROW() &amp; ",'Value Lookup'!A:A,0))","Value Lookup"))</f>
        <v>Value Lookup</v>
      </c>
      <c r="F7" s="4" t="str">
        <f>IF(ISERROR("DRVR"),"",HYPERLINK("#INDEX('Frequencies'!A:A,MATCH(A" &amp; ROW() &amp; ",'Frequencies'!A:A,0))","Frequencies"))</f>
        <v>Frequencies</v>
      </c>
      <c r="G7" s="2"/>
      <c r="H7" s="2">
        <v>6</v>
      </c>
      <c r="I7" s="2"/>
      <c r="J7" s="2"/>
      <c r="K7" s="2"/>
      <c r="L7" s="2"/>
    </row>
    <row r="8" spans="1:12" ht="50.1" hidden="1" customHeight="1" x14ac:dyDescent="0.25">
      <c r="A8" s="3" t="s">
        <v>166</v>
      </c>
      <c r="B8" s="2" t="s">
        <v>167</v>
      </c>
      <c r="C8" s="2" t="s">
        <v>168</v>
      </c>
      <c r="D8" s="2" t="s">
        <v>15</v>
      </c>
      <c r="E8" s="4" t="str">
        <f>IF(ISERROR("EDUC"),"",HYPERLINK("#INDEX('Value Lookup'!A:A,MATCH(A" &amp; ROW() &amp; ",'Value Lookup'!A:A,0))","Value Lookup"))</f>
        <v>Value Lookup</v>
      </c>
      <c r="F8" s="4" t="str">
        <f>IF(ISERROR("EDUC"),"",HYPERLINK("#INDEX('Frequencies'!A:A,MATCH(A" &amp; ROW() &amp; ",'Frequencies'!A:A,0))","Frequencies"))</f>
        <v>Frequencies</v>
      </c>
      <c r="G8" s="2"/>
      <c r="H8" s="2">
        <v>7</v>
      </c>
      <c r="I8" s="2"/>
      <c r="J8" s="2"/>
      <c r="K8" s="2"/>
      <c r="L8" s="2"/>
    </row>
    <row r="9" spans="1:12" ht="50.1" hidden="1" customHeight="1" x14ac:dyDescent="0.25">
      <c r="A9" s="3" t="s">
        <v>568</v>
      </c>
      <c r="B9" s="2" t="s">
        <v>569</v>
      </c>
      <c r="C9" s="2" t="s">
        <v>570</v>
      </c>
      <c r="D9" s="2" t="s">
        <v>15</v>
      </c>
      <c r="E9" s="4" t="str">
        <f>IF(ISERROR("R_HISP"),"",HYPERLINK("#INDEX('Value Lookup'!A:A,MATCH(A" &amp; ROW() &amp; ",'Value Lookup'!A:A,0))","Value Lookup"))</f>
        <v>Value Lookup</v>
      </c>
      <c r="F9" s="4" t="str">
        <f>IF(ISERROR("R_HISP"),"",HYPERLINK("#INDEX('Frequencies'!A:A,MATCH(A" &amp; ROW() &amp; ",'Frequencies'!A:A,0))","Frequencies"))</f>
        <v>Frequencies</v>
      </c>
      <c r="G9" s="2"/>
      <c r="H9" s="2">
        <v>8</v>
      </c>
      <c r="I9" s="2"/>
      <c r="J9" s="2"/>
      <c r="K9" s="2"/>
      <c r="L9" s="2"/>
    </row>
    <row r="10" spans="1:12" ht="50.1" hidden="1" customHeight="1" x14ac:dyDescent="0.25">
      <c r="A10" s="3" t="s">
        <v>580</v>
      </c>
      <c r="B10" s="2" t="s">
        <v>581</v>
      </c>
      <c r="C10" s="2" t="s">
        <v>582</v>
      </c>
      <c r="D10" s="2" t="s">
        <v>15</v>
      </c>
      <c r="E10" s="4" t="str">
        <f>IF(ISERROR("R_RELAT"),"",HYPERLINK("#INDEX('Value Lookup'!A:A,MATCH(A" &amp; ROW() &amp; ",'Value Lookup'!A:A,0))","Value Lookup"))</f>
        <v>Value Lookup</v>
      </c>
      <c r="F10" s="4" t="str">
        <f>IF(ISERROR("R_RELAT"),"",HYPERLINK("#INDEX('Frequencies'!A:A,MATCH(A" &amp; ROW() &amp; ",'Frequencies'!A:A,0))","Frequencies"))</f>
        <v>Frequencies</v>
      </c>
      <c r="G10" s="2"/>
      <c r="H10" s="2">
        <v>9</v>
      </c>
      <c r="I10" s="2"/>
      <c r="J10" s="2"/>
      <c r="K10" s="2"/>
      <c r="L10" s="2"/>
    </row>
    <row r="11" spans="1:12" ht="50.1" hidden="1" customHeight="1" x14ac:dyDescent="0.25">
      <c r="A11" s="3" t="s">
        <v>584</v>
      </c>
      <c r="B11" s="2" t="s">
        <v>585</v>
      </c>
      <c r="C11" s="2" t="s">
        <v>586</v>
      </c>
      <c r="D11" s="2" t="s">
        <v>15</v>
      </c>
      <c r="E11" s="4" t="str">
        <f>IF(ISERROR("R_SEX"),"",HYPERLINK("#INDEX('Value Lookup'!A:A,MATCH(A" &amp; ROW() &amp; ",'Value Lookup'!A:A,0))","Value Lookup"))</f>
        <v>Value Lookup</v>
      </c>
      <c r="F11" s="4" t="str">
        <f>IF(ISERROR("R_SEX"),"",HYPERLINK("#INDEX('Frequencies'!A:A,MATCH(A" &amp; ROW() &amp; ",'Frequencies'!A:A,0))","Frequencies"))</f>
        <v>Frequencies</v>
      </c>
      <c r="G11" s="2"/>
      <c r="H11" s="2">
        <v>10</v>
      </c>
      <c r="I11" s="2"/>
      <c r="J11" s="2"/>
      <c r="K11" s="2"/>
      <c r="L11" s="2"/>
    </row>
    <row r="12" spans="1:12" ht="50.1" hidden="1" customHeight="1" x14ac:dyDescent="0.25">
      <c r="A12" s="3" t="s">
        <v>576</v>
      </c>
      <c r="B12" s="2" t="s">
        <v>577</v>
      </c>
      <c r="C12" s="2"/>
      <c r="D12" s="2" t="s">
        <v>15</v>
      </c>
      <c r="E12" s="4" t="str">
        <f>IF(ISERROR("R_RACE"),"",HYPERLINK("#INDEX('Value Lookup'!A:A,MATCH(A" &amp; ROW() &amp; ",'Value Lookup'!A:A,0))","Value Lookup"))</f>
        <v>Value Lookup</v>
      </c>
      <c r="F12" s="4" t="str">
        <f>IF(ISERROR("R_RACE"),"",HYPERLINK("#INDEX('Frequencies'!A:A,MATCH(A" &amp; ROW() &amp; ",'Frequencies'!A:A,0))","Frequencies"))</f>
        <v>Frequencies</v>
      </c>
      <c r="G12" s="2"/>
      <c r="H12" s="2">
        <v>11</v>
      </c>
      <c r="I12" s="2"/>
      <c r="J12" s="2"/>
      <c r="K12" s="2"/>
      <c r="L12" s="2"/>
    </row>
    <row r="13" spans="1:12" ht="50.1" hidden="1" customHeight="1" x14ac:dyDescent="0.25">
      <c r="A13" s="3" t="s">
        <v>507</v>
      </c>
      <c r="B13" s="2" t="s">
        <v>508</v>
      </c>
      <c r="C13" s="2" t="s">
        <v>509</v>
      </c>
      <c r="D13" s="2" t="s">
        <v>15</v>
      </c>
      <c r="E13" s="4" t="str">
        <f>IF(ISERROR("PRMACT"),"",HYPERLINK("#INDEX('Value Lookup'!A:A,MATCH(A" &amp; ROW() &amp; ",'Value Lookup'!A:A,0))","Value Lookup"))</f>
        <v>Value Lookup</v>
      </c>
      <c r="F13" s="4" t="str">
        <f>IF(ISERROR("PRMACT"),"",HYPERLINK("#INDEX('Frequencies'!A:A,MATCH(A" &amp; ROW() &amp; ",'Frequencies'!A:A,0))","Frequencies"))</f>
        <v>Frequencies</v>
      </c>
      <c r="G13" s="2"/>
      <c r="H13" s="2">
        <v>12</v>
      </c>
      <c r="I13" s="2"/>
      <c r="J13" s="2"/>
      <c r="K13" s="2"/>
      <c r="L13" s="2"/>
    </row>
    <row r="14" spans="1:12" ht="50.1" customHeight="1" x14ac:dyDescent="0.25">
      <c r="A14" s="3" t="s">
        <v>653</v>
      </c>
      <c r="B14" s="2" t="s">
        <v>654</v>
      </c>
      <c r="C14" s="2"/>
      <c r="D14" s="2" t="s">
        <v>15</v>
      </c>
      <c r="E14" s="2" t="str">
        <f>IF(ISERROR("TDTRPNUM"),"","NA")</f>
        <v>NA</v>
      </c>
      <c r="F14" s="4" t="str">
        <f>IF(ISERROR("TDTRPNUM"),"",HYPERLINK("#INDEX('Frequencies'!A:A,MATCH(A" &amp; ROW() &amp; ",'Frequencies'!A:A,0))","Frequencies"))</f>
        <v>Frequencies</v>
      </c>
      <c r="G14" s="2"/>
      <c r="H14" s="2"/>
      <c r="I14" s="2"/>
      <c r="J14" s="2">
        <v>3</v>
      </c>
      <c r="K14" s="2"/>
      <c r="L14" s="2"/>
    </row>
    <row r="15" spans="1:12" ht="50.1" hidden="1" customHeight="1" x14ac:dyDescent="0.25">
      <c r="A15" s="3" t="s">
        <v>488</v>
      </c>
      <c r="B15" s="2" t="s">
        <v>489</v>
      </c>
      <c r="C15" s="2" t="s">
        <v>490</v>
      </c>
      <c r="D15" s="2" t="s">
        <v>15</v>
      </c>
      <c r="E15" s="4" t="str">
        <f>IF(ISERROR("PAYPROF"),"",HYPERLINK("#INDEX('Value Lookup'!A:A,MATCH(A" &amp; ROW() &amp; ",'Value Lookup'!A:A,0))","Value Lookup"))</f>
        <v>Value Lookup</v>
      </c>
      <c r="F15" s="4" t="str">
        <f>IF(ISERROR("PAYPROF"),"",HYPERLINK("#INDEX('Frequencies'!A:A,MATCH(A" &amp; ROW() &amp; ",'Frequencies'!A:A,0))","Frequencies"))</f>
        <v>Frequencies</v>
      </c>
      <c r="G15" s="2"/>
      <c r="H15" s="2">
        <v>13</v>
      </c>
      <c r="I15" s="2"/>
      <c r="J15" s="2"/>
      <c r="K15" s="2"/>
      <c r="L15" s="2"/>
    </row>
    <row r="16" spans="1:12" ht="50.1" hidden="1" customHeight="1" x14ac:dyDescent="0.25">
      <c r="A16" s="3" t="s">
        <v>213</v>
      </c>
      <c r="B16" s="2" t="s">
        <v>214</v>
      </c>
      <c r="C16" s="2" t="s">
        <v>215</v>
      </c>
      <c r="D16" s="2" t="s">
        <v>15</v>
      </c>
      <c r="E16" s="4" t="str">
        <f>IF(ISERROR("GT1JBLWK"),"",HYPERLINK("#INDEX('Value Lookup'!A:A,MATCH(A" &amp; ROW() &amp; ",'Value Lookup'!A:A,0))","Value Lookup"))</f>
        <v>Value Lookup</v>
      </c>
      <c r="F16" s="4" t="str">
        <f>IF(ISERROR("GT1JBLWK"),"",HYPERLINK("#INDEX('Frequencies'!A:A,MATCH(A" &amp; ROW() &amp; ",'Frequencies'!A:A,0))","Frequencies"))</f>
        <v>Frequencies</v>
      </c>
      <c r="G16" s="2"/>
      <c r="H16" s="2">
        <v>14</v>
      </c>
      <c r="I16" s="2"/>
      <c r="J16" s="2"/>
      <c r="K16" s="2"/>
      <c r="L16" s="2"/>
    </row>
    <row r="17" spans="1:12" ht="50.1" hidden="1" customHeight="1" x14ac:dyDescent="0.25">
      <c r="A17" s="3" t="s">
        <v>938</v>
      </c>
      <c r="B17" s="2" t="s">
        <v>939</v>
      </c>
      <c r="C17" s="2" t="s">
        <v>940</v>
      </c>
      <c r="D17" s="2" t="s">
        <v>15</v>
      </c>
      <c r="E17" s="4" t="str">
        <f>IF(ISERROR("WRK_HOME"),"",HYPERLINK("#INDEX('Value Lookup'!A:A,MATCH(A" &amp; ROW() &amp; ",'Value Lookup'!A:A,0))","Value Lookup"))</f>
        <v>Value Lookup</v>
      </c>
      <c r="F17" s="4" t="str">
        <f>IF(ISERROR("WRK_HOME"),"",HYPERLINK("#INDEX('Frequencies'!A:A,MATCH(A" &amp; ROW() &amp; ",'Frequencies'!A:A,0))","Frequencies"))</f>
        <v>Frequencies</v>
      </c>
      <c r="G17" s="2"/>
      <c r="H17" s="2">
        <v>15</v>
      </c>
      <c r="I17" s="2"/>
      <c r="J17" s="2"/>
      <c r="K17" s="2"/>
      <c r="L17" s="2"/>
    </row>
    <row r="18" spans="1:12" ht="50.1" hidden="1" customHeight="1" x14ac:dyDescent="0.25">
      <c r="A18" s="3" t="s">
        <v>645</v>
      </c>
      <c r="B18" s="2" t="s">
        <v>646</v>
      </c>
      <c r="C18" s="2"/>
      <c r="D18" s="2" t="s">
        <v>15</v>
      </c>
      <c r="E18" s="2" t="str">
        <f>IF(ISERROR("TDAYDAT2"),"","NA")</f>
        <v>NA</v>
      </c>
      <c r="F18" s="4" t="str">
        <f>IF(ISERROR("TDAYDAT2"),"",HYPERLINK("#INDEX('Frequencies'!A:A,MATCH(A" &amp; ROW() &amp; ",'Frequencies'!A:A,0))","Frequencies"))</f>
        <v>Frequencies</v>
      </c>
      <c r="G18" s="2">
        <v>2</v>
      </c>
      <c r="H18" s="2"/>
      <c r="I18" s="2"/>
      <c r="J18" s="2"/>
      <c r="K18" s="2"/>
      <c r="L18" s="2"/>
    </row>
    <row r="19" spans="1:12" ht="50.1" hidden="1" customHeight="1" x14ac:dyDescent="0.25">
      <c r="A19" s="3" t="s">
        <v>918</v>
      </c>
      <c r="B19" s="2" t="s">
        <v>919</v>
      </c>
      <c r="C19" s="2" t="s">
        <v>920</v>
      </c>
      <c r="D19" s="2" t="s">
        <v>15</v>
      </c>
      <c r="E19" s="4" t="str">
        <f>IF(ISERROR("WKFTPT"),"",HYPERLINK("#INDEX('Value Lookup'!A:A,MATCH(A" &amp; ROW() &amp; ",'Value Lookup'!A:A,0))","Value Lookup"))</f>
        <v>Value Lookup</v>
      </c>
      <c r="F19" s="4" t="str">
        <f>IF(ISERROR("WKFTPT"),"",HYPERLINK("#INDEX('Frequencies'!A:A,MATCH(A" &amp; ROW() &amp; ",'Frequencies'!A:A,0))","Frequencies"))</f>
        <v>Frequencies</v>
      </c>
      <c r="G19" s="2"/>
      <c r="H19" s="2">
        <v>16</v>
      </c>
      <c r="I19" s="2"/>
      <c r="J19" s="2"/>
      <c r="K19" s="2"/>
      <c r="L19" s="2"/>
    </row>
    <row r="20" spans="1:12" ht="50.1" hidden="1" customHeight="1" x14ac:dyDescent="0.25">
      <c r="A20" s="3" t="s">
        <v>948</v>
      </c>
      <c r="B20" s="2" t="s">
        <v>949</v>
      </c>
      <c r="C20" s="2" t="s">
        <v>950</v>
      </c>
      <c r="D20" s="2" t="s">
        <v>15</v>
      </c>
      <c r="E20" s="4" t="str">
        <f>IF(ISERROR("WRKTRANS"),"",HYPERLINK("#INDEX('Value Lookup'!A:A,MATCH(A" &amp; ROW() &amp; ",'Value Lookup'!A:A,0))","Value Lookup"))</f>
        <v>Value Lookup</v>
      </c>
      <c r="F20" s="4" t="str">
        <f>IF(ISERROR("WRKTRANS"),"",HYPERLINK("#INDEX('Frequencies'!A:A,MATCH(A" &amp; ROW() &amp; ",'Frequencies'!A:A,0))","Frequencies"))</f>
        <v>Frequencies</v>
      </c>
      <c r="G20" s="2"/>
      <c r="H20" s="2">
        <v>17</v>
      </c>
      <c r="I20" s="2"/>
      <c r="J20" s="2"/>
      <c r="K20" s="2"/>
      <c r="L20" s="2"/>
    </row>
    <row r="21" spans="1:12" ht="50.1" hidden="1" customHeight="1" x14ac:dyDescent="0.25">
      <c r="A21" s="3" t="s">
        <v>951</v>
      </c>
      <c r="B21" s="2" t="s">
        <v>952</v>
      </c>
      <c r="C21" s="2" t="s">
        <v>953</v>
      </c>
      <c r="D21" s="2" t="s">
        <v>15</v>
      </c>
      <c r="E21" s="4" t="str">
        <f>IF(ISERROR("WRKTRNOS"),"",HYPERLINK("#INDEX('Value Lookup'!A:A,MATCH(A" &amp; ROW() &amp; ",'Value Lookup'!A:A,0))","Value Lookup"))</f>
        <v>Value Lookup</v>
      </c>
      <c r="F21" s="4" t="str">
        <f>IF(ISERROR("WRKTRNOS"),"",HYPERLINK("#INDEX('Frequencies'!A:A,MATCH(A" &amp; ROW() &amp; ",'Frequencies'!A:A,0))","Frequencies"))</f>
        <v>Frequencies</v>
      </c>
      <c r="G21" s="2"/>
      <c r="H21" s="2">
        <v>18</v>
      </c>
      <c r="I21" s="2"/>
      <c r="J21" s="2"/>
      <c r="K21" s="2"/>
      <c r="L21" s="2"/>
    </row>
    <row r="22" spans="1:12" ht="50.1" hidden="1" customHeight="1" x14ac:dyDescent="0.25">
      <c r="A22" s="3" t="s">
        <v>377</v>
      </c>
      <c r="B22" s="2" t="s">
        <v>378</v>
      </c>
      <c r="C22" s="2" t="s">
        <v>379</v>
      </c>
      <c r="D22" s="2" t="s">
        <v>15</v>
      </c>
      <c r="E22" s="4" t="str">
        <f>IF(ISERROR("LSTTRDAY17"),"",HYPERLINK("#INDEX('Value Lookup'!A:A,MATCH(A" &amp; ROW() &amp; ",'Value Lookup'!A:A,0))","Value Lookup"))</f>
        <v>Value Lookup</v>
      </c>
      <c r="F22" s="4" t="str">
        <f>IF(ISERROR("LSTTRDAY17"),"",HYPERLINK("#INDEX('Frequencies'!A:A,MATCH(A" &amp; ROW() &amp; ",'Frequencies'!A:A,0))","Frequencies"))</f>
        <v>Frequencies</v>
      </c>
      <c r="G22" s="2"/>
      <c r="H22" s="2">
        <v>19</v>
      </c>
      <c r="I22" s="2"/>
      <c r="J22" s="2"/>
      <c r="K22" s="2"/>
      <c r="L22" s="2"/>
    </row>
    <row r="23" spans="1:12" ht="50.1" hidden="1" customHeight="1" x14ac:dyDescent="0.25">
      <c r="A23" s="3" t="s">
        <v>429</v>
      </c>
      <c r="B23" s="2" t="s">
        <v>430</v>
      </c>
      <c r="C23" s="2" t="s">
        <v>431</v>
      </c>
      <c r="D23" s="2" t="s">
        <v>15</v>
      </c>
      <c r="E23" s="4" t="str">
        <f>IF(ISERROR("OCCAT"),"",HYPERLINK("#INDEX('Value Lookup'!A:A,MATCH(A" &amp; ROW() &amp; ",'Value Lookup'!A:A,0))","Value Lookup"))</f>
        <v>Value Lookup</v>
      </c>
      <c r="F23" s="4" t="str">
        <f>IF(ISERROR("OCCAT"),"",HYPERLINK("#INDEX('Frequencies'!A:A,MATCH(A" &amp; ROW() &amp; ",'Frequencies'!A:A,0))","Frequencies"))</f>
        <v>Frequencies</v>
      </c>
      <c r="G23" s="2"/>
      <c r="H23" s="2">
        <v>20</v>
      </c>
      <c r="I23" s="2"/>
      <c r="J23" s="2"/>
      <c r="K23" s="2"/>
      <c r="L23" s="2"/>
    </row>
    <row r="24" spans="1:12" ht="50.1" hidden="1" customHeight="1" x14ac:dyDescent="0.25">
      <c r="A24" s="3" t="s">
        <v>331</v>
      </c>
      <c r="B24" s="2" t="s">
        <v>332</v>
      </c>
      <c r="C24" s="2" t="s">
        <v>333</v>
      </c>
      <c r="D24" s="2" t="s">
        <v>15</v>
      </c>
      <c r="E24" s="4" t="str">
        <f>IF(ISERROR("JOBCATOS"),"",HYPERLINK("#INDEX('Value Lookup'!A:A,MATCH(A" &amp; ROW() &amp; ",'Value Lookup'!A:A,0))","Value Lookup"))</f>
        <v>Value Lookup</v>
      </c>
      <c r="F24" s="4" t="str">
        <f>IF(ISERROR("JOBCATOS"),"",HYPERLINK("#INDEX('Frequencies'!A:A,MATCH(A" &amp; ROW() &amp; ",'Frequencies'!A:A,0))","Frequencies"))</f>
        <v>Frequencies</v>
      </c>
      <c r="G24" s="2"/>
      <c r="H24" s="2">
        <v>21</v>
      </c>
      <c r="I24" s="2"/>
      <c r="J24" s="2"/>
      <c r="K24" s="2"/>
      <c r="L24" s="2"/>
    </row>
    <row r="25" spans="1:12" ht="50.1" hidden="1" customHeight="1" x14ac:dyDescent="0.25">
      <c r="A25" s="3" t="s">
        <v>610</v>
      </c>
      <c r="B25" s="2" t="s">
        <v>611</v>
      </c>
      <c r="C25" s="2" t="s">
        <v>612</v>
      </c>
      <c r="D25" s="2" t="s">
        <v>15</v>
      </c>
      <c r="E25" s="4" t="str">
        <f>IF(ISERROR("SCHTYP"),"",HYPERLINK("#INDEX('Value Lookup'!A:A,MATCH(A" &amp; ROW() &amp; ",'Value Lookup'!A:A,0))","Value Lookup"))</f>
        <v>Value Lookup</v>
      </c>
      <c r="F25" s="4" t="str">
        <f>IF(ISERROR("SCHTYP"),"",HYPERLINK("#INDEX('Frequencies'!A:A,MATCH(A" &amp; ROW() &amp; ",'Frequencies'!A:A,0))","Frequencies"))</f>
        <v>Frequencies</v>
      </c>
      <c r="G25" s="2"/>
      <c r="H25" s="2">
        <v>22</v>
      </c>
      <c r="I25" s="2"/>
      <c r="J25" s="2"/>
      <c r="K25" s="2"/>
      <c r="L25" s="2"/>
    </row>
    <row r="26" spans="1:12" ht="50.1" hidden="1" customHeight="1" x14ac:dyDescent="0.25">
      <c r="A26" s="3" t="s">
        <v>426</v>
      </c>
      <c r="B26" s="2" t="s">
        <v>427</v>
      </c>
      <c r="C26" s="2" t="s">
        <v>428</v>
      </c>
      <c r="D26" s="2" t="s">
        <v>41</v>
      </c>
      <c r="E26" s="2" t="str">
        <f>IF(ISERROR("NWALKTRP"),"","Range: 0 - 99")</f>
        <v>Range: 0 - 99</v>
      </c>
      <c r="F26" s="4" t="str">
        <f>IF(ISERROR("NWALKTRP"),"",HYPERLINK("#INDEX('Frequencies'!A:A,MATCH(A" &amp; ROW() &amp; ",'Frequencies'!A:A,0))","Frequencies"))</f>
        <v>Frequencies</v>
      </c>
      <c r="G26" s="2"/>
      <c r="H26" s="2">
        <v>23</v>
      </c>
      <c r="I26" s="2"/>
      <c r="J26" s="2"/>
      <c r="K26" s="2"/>
      <c r="L26" s="2"/>
    </row>
    <row r="27" spans="1:12" ht="50.1" hidden="1" customHeight="1" x14ac:dyDescent="0.25">
      <c r="A27" s="3" t="s">
        <v>857</v>
      </c>
      <c r="B27" s="2" t="s">
        <v>858</v>
      </c>
      <c r="C27" s="2" t="s">
        <v>859</v>
      </c>
      <c r="D27" s="2" t="s">
        <v>41</v>
      </c>
      <c r="E27" s="2" t="str">
        <f>IF(ISERROR("WALK4EX"),"","Range: 0 - [$NWALKTRIP]")</f>
        <v>Range: 0 - [$NWALKTRIP]</v>
      </c>
      <c r="F27" s="4" t="str">
        <f>IF(ISERROR("WALK4EX"),"",HYPERLINK("#INDEX('Frequencies'!A:A,MATCH(A" &amp; ROW() &amp; ",'Frequencies'!A:A,0))","Frequencies"))</f>
        <v>Frequencies</v>
      </c>
      <c r="G27" s="2"/>
      <c r="H27" s="2">
        <v>24</v>
      </c>
      <c r="I27" s="2"/>
      <c r="J27" s="2"/>
      <c r="K27" s="2"/>
      <c r="L27" s="2"/>
    </row>
    <row r="28" spans="1:12" ht="50.1" hidden="1" customHeight="1" x14ac:dyDescent="0.25">
      <c r="A28" s="3" t="s">
        <v>411</v>
      </c>
      <c r="B28" s="2" t="s">
        <v>412</v>
      </c>
      <c r="C28" s="2" t="s">
        <v>413</v>
      </c>
      <c r="D28" s="2" t="s">
        <v>41</v>
      </c>
      <c r="E28" s="2" t="str">
        <f>IF(ISERROR("NBIKETRP"),"","Range: 0 - 99")</f>
        <v>Range: 0 - 99</v>
      </c>
      <c r="F28" s="4" t="str">
        <f>IF(ISERROR("NBIKETRP"),"",HYPERLINK("#INDEX('Frequencies'!A:A,MATCH(A" &amp; ROW() &amp; ",'Frequencies'!A:A,0))","Frequencies"))</f>
        <v>Frequencies</v>
      </c>
      <c r="G28" s="2"/>
      <c r="H28" s="2">
        <v>25</v>
      </c>
      <c r="I28" s="2"/>
      <c r="J28" s="2"/>
      <c r="K28" s="2"/>
      <c r="L28" s="2"/>
    </row>
    <row r="29" spans="1:12" ht="50.1" hidden="1" customHeight="1" x14ac:dyDescent="0.25">
      <c r="A29" s="3" t="s">
        <v>52</v>
      </c>
      <c r="B29" s="2" t="s">
        <v>53</v>
      </c>
      <c r="C29" s="2" t="s">
        <v>54</v>
      </c>
      <c r="D29" s="2" t="s">
        <v>41</v>
      </c>
      <c r="E29" s="2" t="str">
        <f>IF(ISERROR("BIKE4EX"),"","Range: 0 - [$NBIKETRIP]")</f>
        <v>Range: 0 - [$NBIKETRIP]</v>
      </c>
      <c r="F29" s="4" t="str">
        <f>IF(ISERROR("BIKE4EX"),"",HYPERLINK("#INDEX('Frequencies'!A:A,MATCH(A" &amp; ROW() &amp; ",'Frequencies'!A:A,0))","Frequencies"))</f>
        <v>Frequencies</v>
      </c>
      <c r="G29" s="2"/>
      <c r="H29" s="2">
        <v>26</v>
      </c>
      <c r="I29" s="2"/>
      <c r="J29" s="2"/>
      <c r="K29" s="2"/>
      <c r="L29" s="2"/>
    </row>
    <row r="30" spans="1:12" ht="50.1" hidden="1" customHeight="1" x14ac:dyDescent="0.25">
      <c r="A30" s="3" t="s">
        <v>77</v>
      </c>
      <c r="B30" s="2" t="s">
        <v>78</v>
      </c>
      <c r="C30" s="2"/>
      <c r="D30" s="2" t="s">
        <v>15</v>
      </c>
      <c r="E30" s="4" t="str">
        <f>IF(ISERROR("BLOCKFIPS"),"",HYPERLINK("#INDEX('Value Lookup'!A:A,MATCH(A" &amp; ROW() &amp; ",'Value Lookup'!A:A,0))","Value Lookup"))</f>
        <v>Value Lookup</v>
      </c>
      <c r="F30" s="4" t="str">
        <f>IF(ISERROR("BLOCKFIPS"),"",HYPERLINK("#INDEX('Frequencies'!A:A,MATCH(A" &amp; ROW() &amp; ",'Frequencies'!A:A,0))","Frequencies"))</f>
        <v>Frequencies</v>
      </c>
      <c r="G30" s="2"/>
      <c r="H30" s="2"/>
      <c r="I30" s="2"/>
      <c r="J30" s="2"/>
      <c r="K30" s="2">
        <v>18</v>
      </c>
      <c r="L30" s="2"/>
    </row>
    <row r="31" spans="1:12" ht="50.1" hidden="1" customHeight="1" x14ac:dyDescent="0.25">
      <c r="A31" s="3" t="s">
        <v>72</v>
      </c>
      <c r="B31" s="2" t="s">
        <v>73</v>
      </c>
      <c r="C31" s="2" t="s">
        <v>74</v>
      </c>
      <c r="D31" s="2" t="s">
        <v>41</v>
      </c>
      <c r="E31" s="2" t="str">
        <f>IF(ISERROR("BIKESHARE"),"","Range: 0 - 99")</f>
        <v>Range: 0 - 99</v>
      </c>
      <c r="F31" s="4" t="str">
        <f>IF(ISERROR("BIKESHARE"),"",HYPERLINK("#INDEX('Frequencies'!A:A,MATCH(A" &amp; ROW() &amp; ",'Frequencies'!A:A,0))","Frequencies"))</f>
        <v>Frequencies</v>
      </c>
      <c r="G31" s="2"/>
      <c r="H31" s="2">
        <v>27</v>
      </c>
      <c r="I31" s="2"/>
      <c r="J31" s="2"/>
      <c r="K31" s="2"/>
      <c r="L31" s="2"/>
    </row>
    <row r="32" spans="1:12" ht="50.1" hidden="1" customHeight="1" x14ac:dyDescent="0.25">
      <c r="A32" s="3" t="s">
        <v>146</v>
      </c>
      <c r="B32" s="2" t="s">
        <v>147</v>
      </c>
      <c r="C32" s="2"/>
      <c r="D32" s="2" t="s">
        <v>41</v>
      </c>
      <c r="E32" s="2" t="str">
        <f>IF(ISERROR("DIFFDATE"),"","NA")</f>
        <v>NA</v>
      </c>
      <c r="F32" s="4" t="str">
        <f>IF(ISERROR("DIFFDATE"),"",HYPERLINK("#INDEX('Frequencies'!A:A,MATCH(A" &amp; ROW() &amp; ",'Frequencies'!A:A,0))","Frequencies"))</f>
        <v>Frequencies</v>
      </c>
      <c r="G32" s="2">
        <v>3</v>
      </c>
      <c r="H32" s="2"/>
      <c r="I32" s="2"/>
      <c r="J32" s="2"/>
      <c r="K32" s="2"/>
      <c r="L32" s="2"/>
    </row>
    <row r="33" spans="1:12" ht="50.1" hidden="1" customHeight="1" x14ac:dyDescent="0.25">
      <c r="A33" s="3" t="s">
        <v>717</v>
      </c>
      <c r="B33" s="2" t="s">
        <v>718</v>
      </c>
      <c r="C33" s="2"/>
      <c r="D33" s="2" t="s">
        <v>15</v>
      </c>
      <c r="E33" s="4" t="str">
        <f>IF(ISERROR("TRAVDAY"),"",HYPERLINK("#INDEX('Value Lookup'!A:A,MATCH(A" &amp; ROW() &amp; ",'Value Lookup'!A:A,0))","Value Lookup"))</f>
        <v>Value Lookup</v>
      </c>
      <c r="F33" s="4" t="str">
        <f>IF(ISERROR("TRAVDAY"),"",HYPERLINK("#INDEX('Frequencies'!A:A,MATCH(A" &amp; ROW() &amp; ",'Frequencies'!A:A,0))","Frequencies"))</f>
        <v>Frequencies</v>
      </c>
      <c r="G33" s="2">
        <v>4</v>
      </c>
      <c r="H33" s="2"/>
      <c r="I33" s="2"/>
      <c r="J33" s="2"/>
      <c r="K33" s="2"/>
      <c r="L33" s="2"/>
    </row>
    <row r="34" spans="1:12" ht="50.1" hidden="1" customHeight="1" x14ac:dyDescent="0.25">
      <c r="A34" s="3" t="s">
        <v>55</v>
      </c>
      <c r="B34" s="2" t="s">
        <v>56</v>
      </c>
      <c r="C34" s="2" t="s">
        <v>57</v>
      </c>
      <c r="D34" s="2" t="s">
        <v>15</v>
      </c>
      <c r="E34" s="4" t="str">
        <f>IF(ISERROR("BIKE_D"),"",HYPERLINK("#INDEX('Value Lookup'!A:A,MATCH(A" &amp; ROW() &amp; ",'Value Lookup'!A:A,0))","Value Lookup"))</f>
        <v>Value Lookup</v>
      </c>
      <c r="F34" s="4" t="str">
        <f>IF(ISERROR("BIKE_D"),"",HYPERLINK("#INDEX('Frequencies'!A:A,MATCH(A" &amp; ROW() &amp; ",'Frequencies'!A:A,0))","Frequencies"))</f>
        <v>Frequencies</v>
      </c>
      <c r="G34" s="2"/>
      <c r="H34" s="2">
        <v>28</v>
      </c>
      <c r="I34" s="2"/>
      <c r="J34" s="2"/>
      <c r="K34" s="2"/>
      <c r="L34" s="2"/>
    </row>
    <row r="35" spans="1:12" ht="50.1" hidden="1" customHeight="1" x14ac:dyDescent="0.25">
      <c r="A35" s="3" t="s">
        <v>60</v>
      </c>
      <c r="B35" s="2" t="s">
        <v>61</v>
      </c>
      <c r="C35" s="2" t="s">
        <v>57</v>
      </c>
      <c r="D35" s="2" t="s">
        <v>15</v>
      </c>
      <c r="E35" s="4" t="str">
        <f>IF(ISERROR("BIKE_F"),"",HYPERLINK("#INDEX('Value Lookup'!A:A,MATCH(A" &amp; ROW() &amp; ",'Value Lookup'!A:A,0))","Value Lookup"))</f>
        <v>Value Lookup</v>
      </c>
      <c r="F35" s="4" t="str">
        <f>IF(ISERROR("BIKE_F"),"",HYPERLINK("#INDEX('Frequencies'!A:A,MATCH(A" &amp; ROW() &amp; ",'Frequencies'!A:A,0))","Frequencies"))</f>
        <v>Frequencies</v>
      </c>
      <c r="G35" s="2"/>
      <c r="H35" s="2">
        <v>29</v>
      </c>
      <c r="I35" s="2"/>
      <c r="J35" s="2"/>
      <c r="K35" s="2"/>
      <c r="L35" s="2"/>
    </row>
    <row r="36" spans="1:12" ht="50.1" hidden="1" customHeight="1" x14ac:dyDescent="0.25">
      <c r="A36" s="3" t="s">
        <v>94</v>
      </c>
      <c r="B36" s="2" t="s">
        <v>95</v>
      </c>
      <c r="C36" s="2"/>
      <c r="D36" s="2" t="s">
        <v>15</v>
      </c>
      <c r="E36" s="4" t="str">
        <f>IF(ISERROR("CBSA"),"",HYPERLINK("#INDEX('Value Lookup'!A:A,MATCH(A" &amp; ROW() &amp; ",'Value Lookup'!A:A,0))","Value Lookup"))</f>
        <v>Value Lookup</v>
      </c>
      <c r="F36" s="4" t="str">
        <f>IF(ISERROR("CBSA"),"",HYPERLINK("#INDEX('Frequencies'!A:A,MATCH(A" &amp; ROW() &amp; ",'Frequencies'!A:A,0))","Frequencies"))</f>
        <v>Frequencies</v>
      </c>
      <c r="G36" s="2"/>
      <c r="H36" s="2"/>
      <c r="I36" s="2"/>
      <c r="J36" s="2"/>
      <c r="K36" s="2">
        <v>19</v>
      </c>
      <c r="L36" s="2"/>
    </row>
    <row r="37" spans="1:12" ht="50.1" hidden="1" customHeight="1" x14ac:dyDescent="0.25">
      <c r="A37" s="3" t="s">
        <v>660</v>
      </c>
      <c r="B37" s="2" t="s">
        <v>661</v>
      </c>
      <c r="C37" s="2"/>
      <c r="D37" s="2" t="s">
        <v>15</v>
      </c>
      <c r="E37" s="2" t="str">
        <f>IF(ISERROR("TIMEZONE"),"","NA")</f>
        <v>NA</v>
      </c>
      <c r="F37" s="4" t="str">
        <f>IF(ISERROR("TIMEZONE"),"",HYPERLINK("#INDEX('Frequencies'!A:A,MATCH(A" &amp; ROW() &amp; ",'Frequencies'!A:A,0))","Frequencies"))</f>
        <v>Frequencies</v>
      </c>
      <c r="G37" s="2">
        <v>5</v>
      </c>
      <c r="H37" s="2"/>
      <c r="I37" s="2"/>
      <c r="J37" s="2"/>
      <c r="K37" s="2"/>
      <c r="L37" s="2"/>
    </row>
    <row r="38" spans="1:12" ht="50.1" hidden="1" customHeight="1" x14ac:dyDescent="0.25">
      <c r="A38" s="3" t="s">
        <v>337</v>
      </c>
      <c r="B38" s="2" t="s">
        <v>338</v>
      </c>
      <c r="C38" s="2" t="s">
        <v>339</v>
      </c>
      <c r="D38" s="2" t="s">
        <v>15</v>
      </c>
      <c r="E38" s="4" t="str">
        <f>IF(ISERROR("LANG"),"",HYPERLINK("#INDEX('Value Lookup'!A:A,MATCH(A" &amp; ROW() &amp; ",'Value Lookup'!A:A,0))","Value Lookup"))</f>
        <v>Value Lookup</v>
      </c>
      <c r="F38" s="4" t="str">
        <f>IF(ISERROR("LANG"),"",HYPERLINK("#INDEX('Frequencies'!A:A,MATCH(A" &amp; ROW() &amp; ",'Frequencies'!A:A,0))","Frequencies"))</f>
        <v>Frequencies</v>
      </c>
      <c r="G38" s="2">
        <v>6</v>
      </c>
      <c r="H38" s="2"/>
      <c r="I38" s="2"/>
      <c r="J38" s="2"/>
      <c r="K38" s="2"/>
      <c r="L38" s="2"/>
    </row>
    <row r="39" spans="1:12" ht="50.1" hidden="1" customHeight="1" x14ac:dyDescent="0.25">
      <c r="A39" s="3" t="s">
        <v>594</v>
      </c>
      <c r="B39" s="2" t="s">
        <v>595</v>
      </c>
      <c r="C39" s="2"/>
      <c r="D39" s="2" t="s">
        <v>15</v>
      </c>
      <c r="E39" s="4" t="str">
        <f>IF(ISERROR("SAMPAREA"),"",HYPERLINK("#INDEX('Value Lookup'!A:A,MATCH(A" &amp; ROW() &amp; ",'Value Lookup'!A:A,0))","Value Lookup"))</f>
        <v>Value Lookup</v>
      </c>
      <c r="F39" s="4" t="str">
        <f>IF(ISERROR("SAMPAREA"),"",HYPERLINK("#INDEX('Frequencies'!A:A,MATCH(A" &amp; ROW() &amp; ",'Frequencies'!A:A,0))","Frequencies"))</f>
        <v>Frequencies</v>
      </c>
      <c r="G39" s="2">
        <v>7</v>
      </c>
      <c r="H39" s="2"/>
      <c r="I39" s="2"/>
      <c r="J39" s="2"/>
      <c r="K39" s="2"/>
      <c r="L39" s="2"/>
    </row>
    <row r="40" spans="1:12" ht="50.1" hidden="1" customHeight="1" x14ac:dyDescent="0.25">
      <c r="A40" s="3" t="s">
        <v>102</v>
      </c>
      <c r="B40" s="2" t="s">
        <v>103</v>
      </c>
      <c r="C40" s="2"/>
      <c r="D40" s="2" t="s">
        <v>15</v>
      </c>
      <c r="E40" s="4" t="str">
        <f>IF(ISERROR("CITY"),"",HYPERLINK("#INDEX('Value Lookup'!A:A,MATCH(A" &amp; ROW() &amp; ",'Value Lookup'!A:A,0))","Value Lookup"))</f>
        <v>Value Lookup</v>
      </c>
      <c r="F40" s="4" t="str">
        <f>IF(ISERROR("CITY"),"",HYPERLINK("#INDEX('Frequencies'!A:A,MATCH(A" &amp; ROW() &amp; ",'Frequencies'!A:A,0))","Frequencies"))</f>
        <v>Frequencies</v>
      </c>
      <c r="G40" s="2"/>
      <c r="H40" s="2"/>
      <c r="I40" s="2"/>
      <c r="J40" s="2"/>
      <c r="K40" s="2">
        <v>9</v>
      </c>
      <c r="L40" s="2"/>
    </row>
    <row r="41" spans="1:12" ht="50.1" hidden="1" customHeight="1" x14ac:dyDescent="0.25">
      <c r="A41" s="3" t="s">
        <v>596</v>
      </c>
      <c r="B41" s="2" t="s">
        <v>597</v>
      </c>
      <c r="C41" s="2"/>
      <c r="D41" s="2" t="s">
        <v>15</v>
      </c>
      <c r="E41" s="4" t="str">
        <f>IF(ISERROR("SAMPSTRAT"),"",HYPERLINK("#INDEX('Value Lookup'!A:A,MATCH(A" &amp; ROW() &amp; ",'Value Lookup'!A:A,0))","Value Lookup"))</f>
        <v>Value Lookup</v>
      </c>
      <c r="F41" s="4" t="str">
        <f>IF(ISERROR("SAMPSTRAT"),"",HYPERLINK("#INDEX('Frequencies'!A:A,MATCH(A" &amp; ROW() &amp; ",'Frequencies'!A:A,0))","Frequencies"))</f>
        <v>Frequencies</v>
      </c>
      <c r="G41" s="2">
        <v>8</v>
      </c>
      <c r="H41" s="2"/>
      <c r="I41" s="2"/>
      <c r="J41" s="2"/>
      <c r="K41" s="2"/>
      <c r="L41" s="2"/>
    </row>
    <row r="42" spans="1:12" ht="50.1" hidden="1" customHeight="1" x14ac:dyDescent="0.25">
      <c r="A42" s="3" t="s">
        <v>62</v>
      </c>
      <c r="B42" s="2" t="s">
        <v>63</v>
      </c>
      <c r="C42" s="2" t="s">
        <v>57</v>
      </c>
      <c r="D42" s="2" t="s">
        <v>15</v>
      </c>
      <c r="E42" s="4" t="str">
        <f>IF(ISERROR("BIKE_G"),"",HYPERLINK("#INDEX('Value Lookup'!A:A,MATCH(A" &amp; ROW() &amp; ",'Value Lookup'!A:A,0))","Value Lookup"))</f>
        <v>Value Lookup</v>
      </c>
      <c r="F42" s="4" t="str">
        <f>IF(ISERROR("BIKE_G"),"",HYPERLINK("#INDEX('Frequencies'!A:A,MATCH(A" &amp; ROW() &amp; ",'Frequencies'!A:A,0))","Frequencies"))</f>
        <v>Frequencies</v>
      </c>
      <c r="G42" s="2"/>
      <c r="H42" s="2">
        <v>30</v>
      </c>
      <c r="I42" s="2"/>
      <c r="J42" s="2"/>
      <c r="K42" s="2"/>
      <c r="L42" s="2"/>
    </row>
    <row r="43" spans="1:12" ht="50.1" hidden="1" customHeight="1" x14ac:dyDescent="0.25">
      <c r="A43" s="3" t="s">
        <v>108</v>
      </c>
      <c r="B43" s="2" t="s">
        <v>109</v>
      </c>
      <c r="C43" s="2"/>
      <c r="D43" s="2" t="s">
        <v>15</v>
      </c>
      <c r="E43" s="4" t="str">
        <f>IF(ISERROR("CNTYFIPS"),"",HYPERLINK("#INDEX('Value Lookup'!A:A,MATCH(A" &amp; ROW() &amp; ",'Value Lookup'!A:A,0))","Value Lookup"))</f>
        <v>Value Lookup</v>
      </c>
      <c r="F43" s="4" t="str">
        <f>IF(ISERROR("CNTYFIPS"),"",HYPERLINK("#INDEX('Frequencies'!A:A,MATCH(A" &amp; ROW() &amp; ",'Frequencies'!A:A,0))","Frequencies"))</f>
        <v>Frequencies</v>
      </c>
      <c r="G43" s="2"/>
      <c r="H43" s="2"/>
      <c r="I43" s="2"/>
      <c r="J43" s="2"/>
      <c r="K43" s="2">
        <v>16</v>
      </c>
      <c r="L43" s="2"/>
    </row>
    <row r="44" spans="1:12" ht="50.1" hidden="1" customHeight="1" x14ac:dyDescent="0.25">
      <c r="A44" s="3" t="s">
        <v>64</v>
      </c>
      <c r="B44" s="2" t="s">
        <v>65</v>
      </c>
      <c r="C44" s="2" t="s">
        <v>57</v>
      </c>
      <c r="D44" s="2" t="s">
        <v>15</v>
      </c>
      <c r="E44" s="4" t="str">
        <f>IF(ISERROR("BIKE_K"),"",HYPERLINK("#INDEX('Value Lookup'!A:A,MATCH(A" &amp; ROW() &amp; ",'Value Lookup'!A:A,0))","Value Lookup"))</f>
        <v>Value Lookup</v>
      </c>
      <c r="F44" s="4" t="str">
        <f>IF(ISERROR("BIKE_K"),"",HYPERLINK("#INDEX('Frequencies'!A:A,MATCH(A" &amp; ROW() &amp; ",'Frequencies'!A:A,0))","Frequencies"))</f>
        <v>Frequencies</v>
      </c>
      <c r="G44" s="2"/>
      <c r="H44" s="2">
        <v>31</v>
      </c>
      <c r="I44" s="2"/>
      <c r="J44" s="2"/>
      <c r="K44" s="2"/>
      <c r="L44" s="2"/>
    </row>
    <row r="45" spans="1:12" ht="50.1" hidden="1" customHeight="1" x14ac:dyDescent="0.25">
      <c r="A45" s="3" t="s">
        <v>66</v>
      </c>
      <c r="B45" s="2" t="s">
        <v>67</v>
      </c>
      <c r="C45" s="2" t="s">
        <v>57</v>
      </c>
      <c r="D45" s="2" t="s">
        <v>15</v>
      </c>
      <c r="E45" s="4" t="str">
        <f>IF(ISERROR("BIKE_P"),"",HYPERLINK("#INDEX('Value Lookup'!A:A,MATCH(A" &amp; ROW() &amp; ",'Value Lookup'!A:A,0))","Value Lookup"))</f>
        <v>Value Lookup</v>
      </c>
      <c r="F45" s="4" t="str">
        <f>IF(ISERROR("BIKE_P"),"",HYPERLINK("#INDEX('Frequencies'!A:A,MATCH(A" &amp; ROW() &amp; ",'Frequencies'!A:A,0))","Frequencies"))</f>
        <v>Frequencies</v>
      </c>
      <c r="G45" s="2"/>
      <c r="H45" s="2">
        <v>32</v>
      </c>
      <c r="I45" s="2"/>
      <c r="J45" s="2"/>
      <c r="K45" s="2"/>
      <c r="L45" s="2"/>
    </row>
    <row r="46" spans="1:12" ht="50.1" hidden="1" customHeight="1" x14ac:dyDescent="0.25">
      <c r="A46" s="3" t="s">
        <v>68</v>
      </c>
      <c r="B46" s="2" t="s">
        <v>69</v>
      </c>
      <c r="C46" s="2" t="s">
        <v>57</v>
      </c>
      <c r="D46" s="2" t="s">
        <v>15</v>
      </c>
      <c r="E46" s="4" t="str">
        <f>IF(ISERROR("BIKE_R"),"",HYPERLINK("#INDEX('Value Lookup'!A:A,MATCH(A" &amp; ROW() &amp; ",'Value Lookup'!A:A,0))","Value Lookup"))</f>
        <v>Value Lookup</v>
      </c>
      <c r="F46" s="4" t="str">
        <f>IF(ISERROR("BIKE_R"),"",HYPERLINK("#INDEX('Frequencies'!A:A,MATCH(A" &amp; ROW() &amp; ",'Frequencies'!A:A,0))","Frequencies"))</f>
        <v>Frequencies</v>
      </c>
      <c r="G46" s="2"/>
      <c r="H46" s="2">
        <v>33</v>
      </c>
      <c r="I46" s="2"/>
      <c r="J46" s="2"/>
      <c r="K46" s="2"/>
      <c r="L46" s="2"/>
    </row>
    <row r="47" spans="1:12" ht="50.1" hidden="1" customHeight="1" x14ac:dyDescent="0.25">
      <c r="A47" s="3" t="s">
        <v>75</v>
      </c>
      <c r="B47" s="2" t="s">
        <v>76</v>
      </c>
      <c r="C47" s="2" t="s">
        <v>57</v>
      </c>
      <c r="D47" s="2" t="s">
        <v>15</v>
      </c>
      <c r="E47" s="4" t="str">
        <f>IF(ISERROR("BIKE_Z"),"",HYPERLINK("#INDEX('Value Lookup'!A:A,MATCH(A" &amp; ROW() &amp; ",'Value Lookup'!A:A,0))","Value Lookup"))</f>
        <v>Value Lookup</v>
      </c>
      <c r="F47" s="4" t="str">
        <f>IF(ISERROR("BIKE_Z"),"",HYPERLINK("#INDEX('Frequencies'!A:A,MATCH(A" &amp; ROW() &amp; ",'Frequencies'!A:A,0))","Frequencies"))</f>
        <v>Frequencies</v>
      </c>
      <c r="G47" s="2"/>
      <c r="H47" s="2">
        <v>34</v>
      </c>
      <c r="I47" s="2"/>
      <c r="J47" s="2"/>
      <c r="K47" s="2"/>
      <c r="L47" s="2"/>
    </row>
    <row r="48" spans="1:12" ht="50.1" hidden="1" customHeight="1" x14ac:dyDescent="0.25">
      <c r="A48" s="3" t="s">
        <v>58</v>
      </c>
      <c r="B48" s="2" t="s">
        <v>59</v>
      </c>
      <c r="C48" s="2" t="s">
        <v>57</v>
      </c>
      <c r="D48" s="2" t="s">
        <v>15</v>
      </c>
      <c r="E48" s="4" t="str">
        <f>IF(ISERROR("BIKE_DK"),"",HYPERLINK("#INDEX('Value Lookup'!A:A,MATCH(A" &amp; ROW() &amp; ",'Value Lookup'!A:A,0))","Value Lookup"))</f>
        <v>Value Lookup</v>
      </c>
      <c r="F48" s="4" t="str">
        <f>IF(ISERROR("BIKE_DK"),"",HYPERLINK("#INDEX('Frequencies'!A:A,MATCH(A" &amp; ROW() &amp; ",'Frequencies'!A:A,0))","Frequencies"))</f>
        <v>Frequencies</v>
      </c>
      <c r="G48" s="2"/>
      <c r="H48" s="2">
        <v>35</v>
      </c>
      <c r="I48" s="2"/>
      <c r="J48" s="2"/>
      <c r="K48" s="2"/>
      <c r="L48" s="2"/>
    </row>
    <row r="49" spans="1:12" ht="50.1" hidden="1" customHeight="1" x14ac:dyDescent="0.25">
      <c r="A49" s="3" t="s">
        <v>70</v>
      </c>
      <c r="B49" s="2" t="s">
        <v>71</v>
      </c>
      <c r="C49" s="2" t="s">
        <v>57</v>
      </c>
      <c r="D49" s="2" t="s">
        <v>15</v>
      </c>
      <c r="E49" s="4" t="str">
        <f>IF(ISERROR("BIKE_RF"),"",HYPERLINK("#INDEX('Value Lookup'!A:A,MATCH(A" &amp; ROW() &amp; ",'Value Lookup'!A:A,0))","Value Lookup"))</f>
        <v>Value Lookup</v>
      </c>
      <c r="F49" s="4" t="str">
        <f>IF(ISERROR("BIKE_RF"),"",HYPERLINK("#INDEX('Frequencies'!A:A,MATCH(A" &amp; ROW() &amp; ",'Frequencies'!A:A,0))","Frequencies"))</f>
        <v>Frequencies</v>
      </c>
      <c r="G49" s="2"/>
      <c r="H49" s="2">
        <v>36</v>
      </c>
      <c r="I49" s="2"/>
      <c r="J49" s="2"/>
      <c r="K49" s="2"/>
      <c r="L49" s="2"/>
    </row>
    <row r="50" spans="1:12" ht="50.1" hidden="1" customHeight="1" x14ac:dyDescent="0.25">
      <c r="A50" s="3" t="s">
        <v>860</v>
      </c>
      <c r="B50" s="2" t="s">
        <v>861</v>
      </c>
      <c r="C50" s="2" t="s">
        <v>862</v>
      </c>
      <c r="D50" s="2" t="s">
        <v>15</v>
      </c>
      <c r="E50" s="4" t="str">
        <f>IF(ISERROR("WALK_D"),"",HYPERLINK("#INDEX('Value Lookup'!A:A,MATCH(A" &amp; ROW() &amp; ",'Value Lookup'!A:A,0))","Value Lookup"))</f>
        <v>Value Lookup</v>
      </c>
      <c r="F50" s="4" t="str">
        <f>IF(ISERROR("WALK_D"),"",HYPERLINK("#INDEX('Frequencies'!A:A,MATCH(A" &amp; ROW() &amp; ",'Frequencies'!A:A,0))","Frequencies"))</f>
        <v>Frequencies</v>
      </c>
      <c r="G50" s="2"/>
      <c r="H50" s="2">
        <v>37</v>
      </c>
      <c r="I50" s="2"/>
      <c r="J50" s="2"/>
      <c r="K50" s="2"/>
      <c r="L50" s="2"/>
    </row>
    <row r="51" spans="1:12" ht="50.1" hidden="1" customHeight="1" x14ac:dyDescent="0.25">
      <c r="A51" s="3" t="s">
        <v>865</v>
      </c>
      <c r="B51" s="2" t="s">
        <v>866</v>
      </c>
      <c r="C51" s="2" t="s">
        <v>862</v>
      </c>
      <c r="D51" s="2" t="s">
        <v>15</v>
      </c>
      <c r="E51" s="4" t="str">
        <f>IF(ISERROR("WALK_E"),"",HYPERLINK("#INDEX('Value Lookup'!A:A,MATCH(A" &amp; ROW() &amp; ",'Value Lookup'!A:A,0))","Value Lookup"))</f>
        <v>Value Lookup</v>
      </c>
      <c r="F51" s="4" t="str">
        <f>IF(ISERROR("WALK_E"),"",HYPERLINK("#INDEX('Frequencies'!A:A,MATCH(A" &amp; ROW() &amp; ",'Frequencies'!A:A,0))","Frequencies"))</f>
        <v>Frequencies</v>
      </c>
      <c r="G51" s="2"/>
      <c r="H51" s="2">
        <v>38</v>
      </c>
      <c r="I51" s="2"/>
      <c r="J51" s="2"/>
      <c r="K51" s="2"/>
      <c r="L51" s="2"/>
    </row>
    <row r="52" spans="1:12" ht="50.1" hidden="1" customHeight="1" x14ac:dyDescent="0.25">
      <c r="A52" s="3" t="s">
        <v>867</v>
      </c>
      <c r="B52" s="2" t="s">
        <v>868</v>
      </c>
      <c r="C52" s="2" t="s">
        <v>862</v>
      </c>
      <c r="D52" s="2" t="s">
        <v>15</v>
      </c>
      <c r="E52" s="4" t="str">
        <f>IF(ISERROR("WALK_F"),"",HYPERLINK("#INDEX('Value Lookup'!A:A,MATCH(A" &amp; ROW() &amp; ",'Value Lookup'!A:A,0))","Value Lookup"))</f>
        <v>Value Lookup</v>
      </c>
      <c r="F52" s="4" t="str">
        <f>IF(ISERROR("WALK_F"),"",HYPERLINK("#INDEX('Frequencies'!A:A,MATCH(A" &amp; ROW() &amp; ",'Frequencies'!A:A,0))","Frequencies"))</f>
        <v>Frequencies</v>
      </c>
      <c r="G52" s="2"/>
      <c r="H52" s="2">
        <v>39</v>
      </c>
      <c r="I52" s="2"/>
      <c r="J52" s="2"/>
      <c r="K52" s="2"/>
      <c r="L52" s="2"/>
    </row>
    <row r="53" spans="1:12" ht="50.1" hidden="1" customHeight="1" x14ac:dyDescent="0.25">
      <c r="A53" s="3" t="s">
        <v>869</v>
      </c>
      <c r="B53" s="2" t="s">
        <v>870</v>
      </c>
      <c r="C53" s="2" t="s">
        <v>862</v>
      </c>
      <c r="D53" s="2" t="s">
        <v>15</v>
      </c>
      <c r="E53" s="4" t="str">
        <f>IF(ISERROR("WALK_G"),"",HYPERLINK("#INDEX('Value Lookup'!A:A,MATCH(A" &amp; ROW() &amp; ",'Value Lookup'!A:A,0))","Value Lookup"))</f>
        <v>Value Lookup</v>
      </c>
      <c r="F53" s="4" t="str">
        <f>IF(ISERROR("WALK_G"),"",HYPERLINK("#INDEX('Frequencies'!A:A,MATCH(A" &amp; ROW() &amp; ",'Frequencies'!A:A,0))","Frequencies"))</f>
        <v>Frequencies</v>
      </c>
      <c r="G53" s="2"/>
      <c r="H53" s="2">
        <v>40</v>
      </c>
      <c r="I53" s="2"/>
      <c r="J53" s="2"/>
      <c r="K53" s="2"/>
      <c r="L53" s="2"/>
    </row>
    <row r="54" spans="1:12" ht="50.1" hidden="1" customHeight="1" x14ac:dyDescent="0.25">
      <c r="A54" s="3" t="s">
        <v>131</v>
      </c>
      <c r="B54" s="2" t="s">
        <v>132</v>
      </c>
      <c r="C54" s="2"/>
      <c r="D54" s="2" t="s">
        <v>15</v>
      </c>
      <c r="E54" s="2" t="str">
        <f>IF(ISERROR("COUNTRY"),"","NA")</f>
        <v>NA</v>
      </c>
      <c r="F54" s="4" t="str">
        <f>IF(ISERROR("COUNTRY"),"",HYPERLINK("#INDEX('Frequencies'!A:A,MATCH(A" &amp; ROW() &amp; ",'Frequencies'!A:A,0))","Frequencies"))</f>
        <v>Frequencies</v>
      </c>
      <c r="G54" s="2"/>
      <c r="H54" s="2"/>
      <c r="I54" s="2"/>
      <c r="J54" s="2"/>
      <c r="K54" s="2">
        <v>12</v>
      </c>
      <c r="L54" s="2"/>
    </row>
    <row r="55" spans="1:12" ht="50.1" hidden="1" customHeight="1" x14ac:dyDescent="0.25">
      <c r="A55" s="3" t="s">
        <v>133</v>
      </c>
      <c r="B55" s="2" t="s">
        <v>134</v>
      </c>
      <c r="C55" s="2"/>
      <c r="D55" s="2" t="s">
        <v>15</v>
      </c>
      <c r="E55" s="4" t="str">
        <f>IF(ISERROR("CSA"),"",HYPERLINK("#INDEX('Value Lookup'!A:A,MATCH(A" &amp; ROW() &amp; ",'Value Lookup'!A:A,0))","Value Lookup"))</f>
        <v>Value Lookup</v>
      </c>
      <c r="F55" s="4" t="str">
        <f>IF(ISERROR("CSA"),"",HYPERLINK("#INDEX('Frequencies'!A:A,MATCH(A" &amp; ROW() &amp; ",'Frequencies'!A:A,0))","Frequencies"))</f>
        <v>Frequencies</v>
      </c>
      <c r="G55" s="2"/>
      <c r="H55" s="2"/>
      <c r="I55" s="2"/>
      <c r="J55" s="2"/>
      <c r="K55" s="2">
        <v>20</v>
      </c>
      <c r="L55" s="2"/>
    </row>
    <row r="56" spans="1:12" ht="50.1" hidden="1" customHeight="1" x14ac:dyDescent="0.25">
      <c r="A56" s="3" t="s">
        <v>871</v>
      </c>
      <c r="B56" s="2" t="s">
        <v>872</v>
      </c>
      <c r="C56" s="2" t="s">
        <v>862</v>
      </c>
      <c r="D56" s="2" t="s">
        <v>15</v>
      </c>
      <c r="E56" s="4" t="str">
        <f>IF(ISERROR("WALK_K"),"",HYPERLINK("#INDEX('Value Lookup'!A:A,MATCH(A" &amp; ROW() &amp; ",'Value Lookup'!A:A,0))","Value Lookup"))</f>
        <v>Value Lookup</v>
      </c>
      <c r="F56" s="4" t="str">
        <f>IF(ISERROR("WALK_K"),"",HYPERLINK("#INDEX('Frequencies'!A:A,MATCH(A" &amp; ROW() &amp; ",'Frequencies'!A:A,0))","Frequencies"))</f>
        <v>Frequencies</v>
      </c>
      <c r="G56" s="2"/>
      <c r="H56" s="2">
        <v>41</v>
      </c>
      <c r="I56" s="2"/>
      <c r="J56" s="2"/>
      <c r="K56" s="2"/>
      <c r="L56" s="2"/>
    </row>
    <row r="57" spans="1:12" ht="50.1" hidden="1" customHeight="1" x14ac:dyDescent="0.25">
      <c r="A57" s="3" t="s">
        <v>873</v>
      </c>
      <c r="B57" s="2" t="s">
        <v>874</v>
      </c>
      <c r="C57" s="2" t="s">
        <v>862</v>
      </c>
      <c r="D57" s="2" t="s">
        <v>15</v>
      </c>
      <c r="E57" s="4" t="str">
        <f>IF(ISERROR("WALK_Q"),"",HYPERLINK("#INDEX('Value Lookup'!A:A,MATCH(A" &amp; ROW() &amp; ",'Value Lookup'!A:A,0))","Value Lookup"))</f>
        <v>Value Lookup</v>
      </c>
      <c r="F57" s="4" t="str">
        <f>IF(ISERROR("WALK_Q"),"",HYPERLINK("#INDEX('Frequencies'!A:A,MATCH(A" &amp; ROW() &amp; ",'Frequencies'!A:A,0))","Frequencies"))</f>
        <v>Frequencies</v>
      </c>
      <c r="G57" s="2"/>
      <c r="H57" s="2">
        <v>42</v>
      </c>
      <c r="I57" s="2"/>
      <c r="J57" s="2"/>
      <c r="K57" s="2"/>
      <c r="L57" s="2"/>
    </row>
    <row r="58" spans="1:12" ht="50.1" hidden="1" customHeight="1" x14ac:dyDescent="0.25">
      <c r="A58" s="3" t="s">
        <v>877</v>
      </c>
      <c r="B58" s="2" t="s">
        <v>878</v>
      </c>
      <c r="C58" s="2" t="s">
        <v>862</v>
      </c>
      <c r="D58" s="2" t="s">
        <v>15</v>
      </c>
      <c r="E58" s="4" t="str">
        <f>IF(ISERROR("WALK_Z"),"",HYPERLINK("#INDEX('Value Lookup'!A:A,MATCH(A" &amp; ROW() &amp; ",'Value Lookup'!A:A,0))","Value Lookup"))</f>
        <v>Value Lookup</v>
      </c>
      <c r="F58" s="4" t="str">
        <f>IF(ISERROR("WALK_Z"),"",HYPERLINK("#INDEX('Frequencies'!A:A,MATCH(A" &amp; ROW() &amp; ",'Frequencies'!A:A,0))","Frequencies"))</f>
        <v>Frequencies</v>
      </c>
      <c r="G58" s="2"/>
      <c r="H58" s="2">
        <v>43</v>
      </c>
      <c r="I58" s="2"/>
      <c r="J58" s="2"/>
      <c r="K58" s="2"/>
      <c r="L58" s="2"/>
    </row>
    <row r="59" spans="1:12" ht="50.1" hidden="1" customHeight="1" x14ac:dyDescent="0.25">
      <c r="A59" s="3" t="s">
        <v>863</v>
      </c>
      <c r="B59" s="2" t="s">
        <v>864</v>
      </c>
      <c r="C59" s="2" t="s">
        <v>862</v>
      </c>
      <c r="D59" s="2" t="s">
        <v>15</v>
      </c>
      <c r="E59" s="4" t="str">
        <f>IF(ISERROR("WALK_DK"),"",HYPERLINK("#INDEX('Value Lookup'!A:A,MATCH(A" &amp; ROW() &amp; ",'Value Lookup'!A:A,0))","Value Lookup"))</f>
        <v>Value Lookup</v>
      </c>
      <c r="F59" s="4" t="str">
        <f>IF(ISERROR("WALK_DK"),"",HYPERLINK("#INDEX('Frequencies'!A:A,MATCH(A" &amp; ROW() &amp; ",'Frequencies'!A:A,0))","Frequencies"))</f>
        <v>Frequencies</v>
      </c>
      <c r="G59" s="2"/>
      <c r="H59" s="2">
        <v>44</v>
      </c>
      <c r="I59" s="2"/>
      <c r="J59" s="2"/>
      <c r="K59" s="2"/>
      <c r="L59" s="2"/>
    </row>
    <row r="60" spans="1:12" ht="50.1" hidden="1" customHeight="1" x14ac:dyDescent="0.25">
      <c r="A60" s="3" t="s">
        <v>562</v>
      </c>
      <c r="B60" s="2" t="s">
        <v>563</v>
      </c>
      <c r="C60" s="2"/>
      <c r="D60" s="2" t="s">
        <v>15</v>
      </c>
      <c r="E60" s="4" t="str">
        <f>IF(ISERROR("RECMODE"),"",HYPERLINK("#INDEX('Value Lookup'!A:A,MATCH(A" &amp; ROW() &amp; ",'Value Lookup'!A:A,0))","Value Lookup"))</f>
        <v>Value Lookup</v>
      </c>
      <c r="F60" s="4" t="str">
        <f>IF(ISERROR("RECMODE"),"",HYPERLINK("#INDEX('Frequencies'!A:A,MATCH(A" &amp; ROW() &amp; ",'Frequencies'!A:A,0))","Frequencies"))</f>
        <v>Frequencies</v>
      </c>
      <c r="G60" s="2">
        <v>9</v>
      </c>
      <c r="H60" s="2"/>
      <c r="I60" s="2"/>
      <c r="J60" s="2"/>
      <c r="K60" s="2"/>
      <c r="L60" s="2"/>
    </row>
    <row r="61" spans="1:12" ht="50.1" hidden="1" customHeight="1" x14ac:dyDescent="0.25">
      <c r="A61" s="3" t="s">
        <v>875</v>
      </c>
      <c r="B61" s="2" t="s">
        <v>876</v>
      </c>
      <c r="C61" s="2" t="s">
        <v>862</v>
      </c>
      <c r="D61" s="2" t="s">
        <v>15</v>
      </c>
      <c r="E61" s="4" t="str">
        <f>IF(ISERROR("WALK_RF"),"",HYPERLINK("#INDEX('Value Lookup'!A:A,MATCH(A" &amp; ROW() &amp; ",'Value Lookup'!A:A,0))","Value Lookup"))</f>
        <v>Value Lookup</v>
      </c>
      <c r="F61" s="4" t="str">
        <f>IF(ISERROR("WALK_RF"),"",HYPERLINK("#INDEX('Frequencies'!A:A,MATCH(A" &amp; ROW() &amp; ",'Frequencies'!A:A,0))","Frequencies"))</f>
        <v>Frequencies</v>
      </c>
      <c r="G61" s="2"/>
      <c r="H61" s="2">
        <v>45</v>
      </c>
      <c r="I61" s="2"/>
      <c r="J61" s="2"/>
      <c r="K61" s="2"/>
      <c r="L61" s="2"/>
    </row>
    <row r="62" spans="1:12" ht="50.1" hidden="1" customHeight="1" x14ac:dyDescent="0.25">
      <c r="A62" s="3" t="s">
        <v>517</v>
      </c>
      <c r="B62" s="2" t="s">
        <v>518</v>
      </c>
      <c r="C62" s="2" t="s">
        <v>519</v>
      </c>
      <c r="D62" s="2" t="s">
        <v>41</v>
      </c>
      <c r="E62" s="2" t="str">
        <f>IF(ISERROR("PTUSED"),"","Range: 0 - 240")</f>
        <v>Range: 0 - 240</v>
      </c>
      <c r="F62" s="4" t="str">
        <f>IF(ISERROR("PTUSED"),"",HYPERLINK("#INDEX('Frequencies'!A:A,MATCH(A" &amp; ROW() &amp; ",'Frequencies'!A:A,0))","Frequencies"))</f>
        <v>Frequencies</v>
      </c>
      <c r="G62" s="2"/>
      <c r="H62" s="2">
        <v>46</v>
      </c>
      <c r="I62" s="2"/>
      <c r="J62" s="2"/>
      <c r="K62" s="2"/>
      <c r="L62" s="2"/>
    </row>
    <row r="63" spans="1:12" ht="50.1" hidden="1" customHeight="1" x14ac:dyDescent="0.25">
      <c r="A63" s="3" t="s">
        <v>392</v>
      </c>
      <c r="B63" s="2" t="s">
        <v>393</v>
      </c>
      <c r="C63" s="2" t="s">
        <v>394</v>
      </c>
      <c r="D63" s="2" t="s">
        <v>41</v>
      </c>
      <c r="E63" s="2" t="str">
        <f>IF(ISERROR("MCUSED"),"","Range: 0 - 99")</f>
        <v>Range: 0 - 99</v>
      </c>
      <c r="F63" s="4" t="str">
        <f>IF(ISERROR("MCUSED"),"",HYPERLINK("#INDEX('Frequencies'!A:A,MATCH(A" &amp; ROW() &amp; ",'Frequencies'!A:A,0))","Frequencies"))</f>
        <v>Frequencies</v>
      </c>
      <c r="G63" s="2"/>
      <c r="H63" s="2">
        <v>47</v>
      </c>
      <c r="I63" s="2"/>
      <c r="J63" s="2"/>
      <c r="K63" s="2"/>
      <c r="L63" s="2"/>
    </row>
    <row r="64" spans="1:12" ht="50.1" customHeight="1" x14ac:dyDescent="0.25">
      <c r="A64" s="3" t="s">
        <v>449</v>
      </c>
      <c r="B64" s="2" t="s">
        <v>450</v>
      </c>
      <c r="C64" s="2"/>
      <c r="D64" s="2" t="s">
        <v>15</v>
      </c>
      <c r="E64" s="2" t="str">
        <f>IF(ISERROR("O_LOCNO"),"","NA")</f>
        <v>NA</v>
      </c>
      <c r="F64" s="4" t="str">
        <f>IF(ISERROR("O_LOCNO"),"",HYPERLINK("#INDEX('Frequencies'!A:A,MATCH(A" &amp; ROW() &amp; ",'Frequencies'!A:A,0))","Frequencies"))</f>
        <v>Frequencies</v>
      </c>
      <c r="G64" s="2"/>
      <c r="H64" s="2"/>
      <c r="I64" s="2"/>
      <c r="J64" s="2">
        <v>4</v>
      </c>
      <c r="K64" s="2"/>
      <c r="L64" s="2"/>
    </row>
    <row r="65" spans="1:12" ht="50.1" hidden="1" customHeight="1" x14ac:dyDescent="0.25">
      <c r="A65" s="3" t="s">
        <v>91</v>
      </c>
      <c r="B65" s="2" t="s">
        <v>92</v>
      </c>
      <c r="C65" s="2" t="s">
        <v>93</v>
      </c>
      <c r="D65" s="2" t="s">
        <v>41</v>
      </c>
      <c r="E65" s="2" t="str">
        <f>IF(ISERROR("CARSHARE"),"","Range: 0 - 99")</f>
        <v>Range: 0 - 99</v>
      </c>
      <c r="F65" s="4" t="str">
        <f>IF(ISERROR("CARSHARE"),"",HYPERLINK("#INDEX('Frequencies'!A:A,MATCH(A" &amp; ROW() &amp; ",'Frequencies'!A:A,0))","Frequencies"))</f>
        <v>Frequencies</v>
      </c>
      <c r="G65" s="2"/>
      <c r="H65" s="2">
        <v>48</v>
      </c>
      <c r="I65" s="2"/>
      <c r="J65" s="2"/>
      <c r="K65" s="2"/>
      <c r="L65" s="2"/>
    </row>
    <row r="66" spans="1:12" ht="50.1" hidden="1" customHeight="1" x14ac:dyDescent="0.25">
      <c r="A66" s="3" t="s">
        <v>566</v>
      </c>
      <c r="B66" s="2" t="s">
        <v>567</v>
      </c>
      <c r="C66" s="2"/>
      <c r="D66" s="2" t="s">
        <v>15</v>
      </c>
      <c r="E66" s="4" t="str">
        <f>IF(ISERROR("RETMODE"),"",HYPERLINK("#INDEX('Value Lookup'!A:A,MATCH(A" &amp; ROW() &amp; ",'Value Lookup'!A:A,0))","Value Lookup"))</f>
        <v>Value Lookup</v>
      </c>
      <c r="F66" s="4" t="str">
        <f>IF(ISERROR("RETMODE"),"",HYPERLINK("#INDEX('Frequencies'!A:A,MATCH(A" &amp; ROW() &amp; ",'Frequencies'!A:A,0))","Frequencies"))</f>
        <v>Frequencies</v>
      </c>
      <c r="G66" s="2">
        <v>10</v>
      </c>
      <c r="H66" s="2"/>
      <c r="I66" s="2"/>
      <c r="J66" s="2"/>
      <c r="K66" s="2"/>
      <c r="L66" s="2"/>
    </row>
    <row r="67" spans="1:12" ht="50.1" customHeight="1" x14ac:dyDescent="0.25">
      <c r="A67" s="3" t="s">
        <v>362</v>
      </c>
      <c r="B67" s="2" t="s">
        <v>363</v>
      </c>
      <c r="C67" s="2"/>
      <c r="D67" s="2" t="s">
        <v>15</v>
      </c>
      <c r="E67" s="2" t="str">
        <f>IF(ISERROR("LOCNO"),"","NA")</f>
        <v>NA</v>
      </c>
      <c r="F67" s="4" t="str">
        <f>IF(ISERROR("LOCNO"),"",HYPERLINK("#INDEX('Frequencies'!A:A,MATCH(A" &amp; ROW() &amp; ",'Frequencies'!A:A,0))","Frequencies"))</f>
        <v>Frequencies</v>
      </c>
      <c r="G67" s="2"/>
      <c r="H67" s="2"/>
      <c r="I67" s="2"/>
      <c r="J67" s="2">
        <v>5</v>
      </c>
      <c r="K67" s="2">
        <v>2</v>
      </c>
      <c r="L67" s="2"/>
    </row>
    <row r="68" spans="1:12" ht="50.1" customHeight="1" x14ac:dyDescent="0.25">
      <c r="A68" s="3" t="s">
        <v>635</v>
      </c>
      <c r="B68" s="2" t="s">
        <v>636</v>
      </c>
      <c r="C68" s="2" t="s">
        <v>630</v>
      </c>
      <c r="D68" s="2" t="s">
        <v>15</v>
      </c>
      <c r="E68" s="2" t="str">
        <f>IF(ISERROR("STRTTIME"),"","NA")</f>
        <v>NA</v>
      </c>
      <c r="F68" s="4" t="str">
        <f>IF(ISERROR("STRTTIME"),"",HYPERLINK("#INDEX('Frequencies'!A:A,MATCH(A" &amp; ROW() &amp; ",'Frequencies'!A:A,0))","Frequencies"))</f>
        <v>Frequencies</v>
      </c>
      <c r="G68" s="2"/>
      <c r="H68" s="2"/>
      <c r="I68" s="2"/>
      <c r="J68" s="2">
        <v>6</v>
      </c>
      <c r="K68" s="2"/>
      <c r="L68" s="2"/>
    </row>
    <row r="69" spans="1:12" ht="50.1" hidden="1" customHeight="1" x14ac:dyDescent="0.25">
      <c r="A69" s="3" t="s">
        <v>573</v>
      </c>
      <c r="B69" s="2" t="s">
        <v>574</v>
      </c>
      <c r="C69" s="2" t="s">
        <v>575</v>
      </c>
      <c r="D69" s="2" t="s">
        <v>41</v>
      </c>
      <c r="E69" s="2" t="str">
        <f>IF(ISERROR("RIDESHARE"),"","Range: 0 - 99")</f>
        <v>Range: 0 - 99</v>
      </c>
      <c r="F69" s="4" t="str">
        <f>IF(ISERROR("RIDESHARE"),"",HYPERLINK("#INDEX('Frequencies'!A:A,MATCH(A" &amp; ROW() &amp; ",'Frequencies'!A:A,0))","Frequencies"))</f>
        <v>Frequencies</v>
      </c>
      <c r="G69" s="2"/>
      <c r="H69" s="2">
        <v>49</v>
      </c>
      <c r="I69" s="2"/>
      <c r="J69" s="2"/>
      <c r="K69" s="2"/>
      <c r="L69" s="2"/>
    </row>
    <row r="70" spans="1:12" ht="50.1" customHeight="1" x14ac:dyDescent="0.25">
      <c r="A70" s="3" t="s">
        <v>176</v>
      </c>
      <c r="B70" s="2" t="s">
        <v>177</v>
      </c>
      <c r="C70" s="2" t="s">
        <v>171</v>
      </c>
      <c r="D70" s="2" t="s">
        <v>15</v>
      </c>
      <c r="E70" s="2" t="str">
        <f>IF(ISERROR("ENDTIME"),"","NA")</f>
        <v>NA</v>
      </c>
      <c r="F70" s="4" t="str">
        <f>IF(ISERROR("ENDTIME"),"",HYPERLINK("#INDEX('Frequencies'!A:A,MATCH(A" &amp; ROW() &amp; ",'Frequencies'!A:A,0))","Frequencies"))</f>
        <v>Frequencies</v>
      </c>
      <c r="G70" s="2"/>
      <c r="H70" s="2"/>
      <c r="I70" s="2"/>
      <c r="J70" s="2">
        <v>7</v>
      </c>
      <c r="K70" s="2"/>
      <c r="L70" s="2"/>
    </row>
    <row r="71" spans="1:12" ht="50.1" customHeight="1" x14ac:dyDescent="0.25">
      <c r="A71" s="3" t="s">
        <v>637</v>
      </c>
      <c r="B71" s="2" t="s">
        <v>638</v>
      </c>
      <c r="C71" s="2" t="s">
        <v>630</v>
      </c>
      <c r="D71" s="2" t="s">
        <v>15</v>
      </c>
      <c r="E71" s="2" t="str">
        <f>IF(ISERROR("STRTTIME17"),"","NA")</f>
        <v>NA</v>
      </c>
      <c r="F71" s="4" t="str">
        <f>IF(ISERROR("STRTTIME17"),"",HYPERLINK("#INDEX('Frequencies'!A:A,MATCH(A" &amp; ROW() &amp; ",'Frequencies'!A:A,0))","Frequencies"))</f>
        <v>Frequencies</v>
      </c>
      <c r="G71" s="2"/>
      <c r="H71" s="2"/>
      <c r="I71" s="2"/>
      <c r="J71" s="2">
        <v>8</v>
      </c>
      <c r="K71" s="2"/>
      <c r="L71" s="2"/>
    </row>
    <row r="72" spans="1:12" ht="50.1" customHeight="1" x14ac:dyDescent="0.25">
      <c r="A72" s="3" t="s">
        <v>178</v>
      </c>
      <c r="B72" s="2" t="s">
        <v>179</v>
      </c>
      <c r="C72" s="2" t="s">
        <v>171</v>
      </c>
      <c r="D72" s="2" t="s">
        <v>15</v>
      </c>
      <c r="E72" s="2" t="str">
        <f>IF(ISERROR("ENDTIME17"),"","NA")</f>
        <v>NA</v>
      </c>
      <c r="F72" s="4" t="str">
        <f>IF(ISERROR("ENDTIME17"),"",HYPERLINK("#INDEX('Frequencies'!A:A,MATCH(A" &amp; ROW() &amp; ",'Frequencies'!A:A,0))","Frequencies"))</f>
        <v>Frequencies</v>
      </c>
      <c r="G72" s="2"/>
      <c r="H72" s="2"/>
      <c r="I72" s="2"/>
      <c r="J72" s="2">
        <v>9</v>
      </c>
      <c r="K72" s="2"/>
      <c r="L72" s="2"/>
    </row>
    <row r="73" spans="1:12" ht="50.1" customHeight="1" x14ac:dyDescent="0.25">
      <c r="A73" s="3" t="s">
        <v>631</v>
      </c>
      <c r="B73" s="2" t="s">
        <v>632</v>
      </c>
      <c r="C73" s="2" t="s">
        <v>630</v>
      </c>
      <c r="D73" s="2" t="s">
        <v>15</v>
      </c>
      <c r="E73" s="2" t="str">
        <f>IF(ISERROR("STRTHR"),"","NA")</f>
        <v>NA</v>
      </c>
      <c r="F73" s="4" t="str">
        <f>IF(ISERROR("STRTHR"),"",HYPERLINK("#INDEX('Frequencies'!A:A,MATCH(A" &amp; ROW() &amp; ",'Frequencies'!A:A,0))","Frequencies"))</f>
        <v>Frequencies</v>
      </c>
      <c r="G73" s="2"/>
      <c r="H73" s="2"/>
      <c r="I73" s="2"/>
      <c r="J73" s="2">
        <v>10</v>
      </c>
      <c r="K73" s="2"/>
      <c r="L73" s="2"/>
    </row>
    <row r="74" spans="1:12" ht="50.1" customHeight="1" x14ac:dyDescent="0.25">
      <c r="A74" s="3" t="s">
        <v>633</v>
      </c>
      <c r="B74" s="2" t="s">
        <v>634</v>
      </c>
      <c r="C74" s="2" t="s">
        <v>630</v>
      </c>
      <c r="D74" s="2" t="s">
        <v>15</v>
      </c>
      <c r="E74" s="2" t="str">
        <f>IF(ISERROR("STRTMIN"),"","NA")</f>
        <v>NA</v>
      </c>
      <c r="F74" s="4" t="str">
        <f>IF(ISERROR("STRTMIN"),"",HYPERLINK("#INDEX('Frequencies'!A:A,MATCH(A" &amp; ROW() &amp; ",'Frequencies'!A:A,0))","Frequencies"))</f>
        <v>Frequencies</v>
      </c>
      <c r="G74" s="2"/>
      <c r="H74" s="2"/>
      <c r="I74" s="2"/>
      <c r="J74" s="2">
        <v>11</v>
      </c>
      <c r="K74" s="2"/>
      <c r="L74" s="2"/>
    </row>
    <row r="75" spans="1:12" ht="50.1" hidden="1" customHeight="1" x14ac:dyDescent="0.25">
      <c r="A75" s="3" t="s">
        <v>832</v>
      </c>
      <c r="B75" s="2" t="s">
        <v>833</v>
      </c>
      <c r="C75" s="2" t="s">
        <v>834</v>
      </c>
      <c r="D75" s="2" t="s">
        <v>41</v>
      </c>
      <c r="E75" s="2" t="str">
        <f>IF(ISERROR("VEHYEAR"),"","Range: 1900 - 2017")</f>
        <v>Range: 1900 - 2017</v>
      </c>
      <c r="F75" s="4" t="str">
        <f>IF(ISERROR("VEHYEAR"),"",HYPERLINK("#INDEX('Frequencies'!A:A,MATCH(A" &amp; ROW() &amp; ",'Frequencies'!A:A,0))","Frequencies"))</f>
        <v>Frequencies</v>
      </c>
      <c r="G75" s="2"/>
      <c r="H75" s="2"/>
      <c r="I75" s="2">
        <v>3</v>
      </c>
      <c r="J75" s="2"/>
      <c r="K75" s="2"/>
      <c r="L75" s="2"/>
    </row>
    <row r="76" spans="1:12" ht="50.1" hidden="1" customHeight="1" x14ac:dyDescent="0.25">
      <c r="A76" s="3" t="s">
        <v>810</v>
      </c>
      <c r="B76" s="2" t="s">
        <v>811</v>
      </c>
      <c r="C76" s="2"/>
      <c r="D76" s="2" t="s">
        <v>41</v>
      </c>
      <c r="E76" s="4" t="str">
        <f>IF(ISERROR("VEHAGE"),"",HYPERLINK("#INDEX('Value Lookup'!A:A,MATCH(A" &amp; ROW() &amp; ",'Value Lookup'!A:A,0))","Value Lookup"))</f>
        <v>Value Lookup</v>
      </c>
      <c r="F76" s="4" t="str">
        <f>IF(ISERROR("VEHAGE"),"",HYPERLINK("#INDEX('Frequencies'!A:A,MATCH(A" &amp; ROW() &amp; ",'Frequencies'!A:A,0))","Frequencies"))</f>
        <v>Frequencies</v>
      </c>
      <c r="G76" s="2"/>
      <c r="H76" s="2"/>
      <c r="I76" s="2">
        <v>4</v>
      </c>
      <c r="J76" s="2"/>
      <c r="K76" s="2"/>
      <c r="L76" s="2"/>
    </row>
    <row r="77" spans="1:12" ht="50.1" hidden="1" customHeight="1" x14ac:dyDescent="0.25">
      <c r="A77" s="3" t="s">
        <v>265</v>
      </c>
      <c r="B77" s="2" t="s">
        <v>266</v>
      </c>
      <c r="C77" s="2" t="s">
        <v>267</v>
      </c>
      <c r="D77" s="2" t="s">
        <v>15</v>
      </c>
      <c r="E77" s="4" t="str">
        <f>IF(ISERROR("HOMEOWN"),"",HYPERLINK("#INDEX('Value Lookup'!A:A,MATCH(A" &amp; ROW() &amp; ",'Value Lookup'!A:A,0))","Value Lookup"))</f>
        <v>Value Lookup</v>
      </c>
      <c r="F77" s="4" t="str">
        <f>IF(ISERROR("HOMEOWN"),"",HYPERLINK("#INDEX('Frequencies'!A:A,MATCH(A" &amp; ROW() &amp; ",'Frequencies'!A:A,0))","Frequencies"))</f>
        <v>Frequencies</v>
      </c>
      <c r="G77" s="2">
        <v>11</v>
      </c>
      <c r="H77" s="2"/>
      <c r="I77" s="2"/>
      <c r="J77" s="2"/>
      <c r="K77" s="2"/>
      <c r="L77" s="2"/>
    </row>
    <row r="78" spans="1:12" ht="50.1" hidden="1" customHeight="1" x14ac:dyDescent="0.25">
      <c r="A78" s="3" t="s">
        <v>88</v>
      </c>
      <c r="B78" s="2" t="s">
        <v>89</v>
      </c>
      <c r="C78" s="2" t="s">
        <v>90</v>
      </c>
      <c r="D78" s="2" t="s">
        <v>41</v>
      </c>
      <c r="E78" s="2" t="str">
        <f>IF(ISERROR("CARRODE"),"","Range: 1 - 20")</f>
        <v>Range: 1 - 20</v>
      </c>
      <c r="F78" s="4" t="str">
        <f>IF(ISERROR("CARRODE"),"",HYPERLINK("#INDEX('Frequencies'!A:A,MATCH(A" &amp; ROW() &amp; ",'Frequencies'!A:A,0))","Frequencies"))</f>
        <v>Frequencies</v>
      </c>
      <c r="G78" s="2"/>
      <c r="H78" s="2">
        <v>50</v>
      </c>
      <c r="I78" s="2"/>
      <c r="J78" s="2"/>
      <c r="K78" s="2"/>
      <c r="L78" s="2"/>
    </row>
    <row r="79" spans="1:12" ht="50.1" hidden="1" customHeight="1" x14ac:dyDescent="0.25">
      <c r="A79" s="3" t="s">
        <v>657</v>
      </c>
      <c r="B79" s="2" t="s">
        <v>658</v>
      </c>
      <c r="C79" s="2" t="s">
        <v>659</v>
      </c>
      <c r="D79" s="2" t="s">
        <v>41</v>
      </c>
      <c r="E79" s="2" t="str">
        <f>IF(ISERROR("TIMETOWK"),"","Range: 0 - 600")</f>
        <v>Range: 0 - 600</v>
      </c>
      <c r="F79" s="4" t="str">
        <f>IF(ISERROR("TIMETOWK"),"",HYPERLINK("#INDEX('Frequencies'!A:A,MATCH(A" &amp; ROW() &amp; ",'Frequencies'!A:A,0))","Frequencies"))</f>
        <v>Frequencies</v>
      </c>
      <c r="G79" s="2"/>
      <c r="H79" s="2">
        <v>51</v>
      </c>
      <c r="I79" s="2"/>
      <c r="J79" s="2"/>
      <c r="K79" s="2"/>
      <c r="L79" s="2"/>
    </row>
    <row r="80" spans="1:12" ht="50.1" hidden="1" customHeight="1" x14ac:dyDescent="0.25">
      <c r="A80" s="3" t="s">
        <v>414</v>
      </c>
      <c r="B80" s="2" t="s">
        <v>415</v>
      </c>
      <c r="C80" s="2" t="s">
        <v>416</v>
      </c>
      <c r="D80" s="2" t="s">
        <v>41</v>
      </c>
      <c r="E80" s="2" t="str">
        <f>IF(ISERROR("NOCONG"),"","Range: 0 - 180")</f>
        <v>Range: 0 - 180</v>
      </c>
      <c r="F80" s="4" t="str">
        <f>IF(ISERROR("NOCONG"),"",HYPERLINK("#INDEX('Frequencies'!A:A,MATCH(A" &amp; ROW() &amp; ",'Frequencies'!A:A,0))","Frequencies"))</f>
        <v>Frequencies</v>
      </c>
      <c r="G80" s="2"/>
      <c r="H80" s="2">
        <v>52</v>
      </c>
      <c r="I80" s="2"/>
      <c r="J80" s="2"/>
      <c r="K80" s="2"/>
      <c r="L80" s="2"/>
    </row>
    <row r="81" spans="1:12" ht="50.1" hidden="1" customHeight="1" x14ac:dyDescent="0.25">
      <c r="A81" s="3" t="s">
        <v>380</v>
      </c>
      <c r="B81" s="2" t="s">
        <v>381</v>
      </c>
      <c r="C81" s="2" t="s">
        <v>382</v>
      </c>
      <c r="D81" s="2" t="s">
        <v>15</v>
      </c>
      <c r="E81" s="4" t="str">
        <f>IF(ISERROR("MAKE"),"",HYPERLINK("#INDEX('Value Lookup'!A:A,MATCH(A" &amp; ROW() &amp; ",'Value Lookup'!A:A,0))","Value Lookup"))</f>
        <v>Value Lookup</v>
      </c>
      <c r="F81" s="4" t="str">
        <f>IF(ISERROR("MAKE"),"",HYPERLINK("#INDEX('Frequencies'!A:A,MATCH(A" &amp; ROW() &amp; ",'Frequencies'!A:A,0))","Frequencies"))</f>
        <v>Frequencies</v>
      </c>
      <c r="G81" s="2"/>
      <c r="H81" s="2"/>
      <c r="I81" s="2">
        <v>5</v>
      </c>
      <c r="J81" s="2"/>
      <c r="K81" s="2"/>
      <c r="L81" s="2"/>
    </row>
    <row r="82" spans="1:12" ht="50.1" hidden="1" customHeight="1" x14ac:dyDescent="0.25">
      <c r="A82" s="3" t="s">
        <v>383</v>
      </c>
      <c r="B82" s="2" t="s">
        <v>384</v>
      </c>
      <c r="C82" s="2" t="s">
        <v>385</v>
      </c>
      <c r="D82" s="2" t="s">
        <v>15</v>
      </c>
      <c r="E82" s="4" t="str">
        <f>IF(ISERROR("MAKE_O"),"",HYPERLINK("#INDEX('Value Lookup'!A:A,MATCH(A" &amp; ROW() &amp; ",'Value Lookup'!A:A,0))","Value Lookup"))</f>
        <v>Value Lookup</v>
      </c>
      <c r="F82" s="4" t="str">
        <f>IF(ISERROR("MAKE_O"),"",HYPERLINK("#INDEX('Frequencies'!A:A,MATCH(A" &amp; ROW() &amp; ",'Frequencies'!A:A,0))","Frequencies"))</f>
        <v>Frequencies</v>
      </c>
      <c r="G82" s="2"/>
      <c r="H82" s="2"/>
      <c r="I82" s="2">
        <v>6</v>
      </c>
      <c r="J82" s="2"/>
      <c r="K82" s="2"/>
      <c r="L82" s="2"/>
    </row>
    <row r="83" spans="1:12" ht="50.1" hidden="1" customHeight="1" x14ac:dyDescent="0.25">
      <c r="A83" s="3" t="s">
        <v>201</v>
      </c>
      <c r="B83" s="2" t="s">
        <v>202</v>
      </c>
      <c r="C83" s="2"/>
      <c r="D83" s="2" t="s">
        <v>15</v>
      </c>
      <c r="E83" s="2" t="str">
        <f>IF(ISERROR("FULLADDR"),"","NA")</f>
        <v>NA</v>
      </c>
      <c r="F83" s="4" t="str">
        <f>IF(ISERROR("FULLADDR"),"",HYPERLINK("#INDEX('Frequencies'!A:A,MATCH(A" &amp; ROW() &amp; ",'Frequencies'!A:A,0))","Frequencies"))</f>
        <v>Frequencies</v>
      </c>
      <c r="G83" s="2"/>
      <c r="H83" s="2"/>
      <c r="I83" s="2"/>
      <c r="J83" s="2"/>
      <c r="K83" s="2">
        <v>13</v>
      </c>
      <c r="L83" s="2"/>
    </row>
    <row r="84" spans="1:12" ht="50.1" hidden="1" customHeight="1" x14ac:dyDescent="0.25">
      <c r="A84" s="3" t="s">
        <v>203</v>
      </c>
      <c r="B84" s="2" t="s">
        <v>204</v>
      </c>
      <c r="C84" s="2"/>
      <c r="D84" s="2" t="s">
        <v>15</v>
      </c>
      <c r="E84" s="4" t="str">
        <f>IF(ISERROR("FULLFIPS"),"",HYPERLINK("#INDEX('Value Lookup'!A:A,MATCH(A" &amp; ROW() &amp; ",'Value Lookup'!A:A,0))","Value Lookup"))</f>
        <v>Value Lookup</v>
      </c>
      <c r="F84" s="4" t="str">
        <f>IF(ISERROR("FULLFIPS"),"",HYPERLINK("#INDEX('Frequencies'!A:A,MATCH(A" &amp; ROW() &amp; ",'Frequencies'!A:A,0))","Frequencies"))</f>
        <v>Frequencies</v>
      </c>
      <c r="G84" s="2"/>
      <c r="H84" s="2"/>
      <c r="I84" s="2"/>
      <c r="J84" s="2"/>
      <c r="K84" s="2">
        <v>14</v>
      </c>
      <c r="L84" s="2"/>
    </row>
    <row r="85" spans="1:12" ht="50.1" hidden="1" customHeight="1" x14ac:dyDescent="0.25">
      <c r="A85" s="3" t="s">
        <v>270</v>
      </c>
      <c r="B85" s="2" t="s">
        <v>271</v>
      </c>
      <c r="C85" s="2" t="s">
        <v>272</v>
      </c>
      <c r="D85" s="2" t="s">
        <v>15</v>
      </c>
      <c r="E85" s="4" t="str">
        <f>IF(ISERROR("HOMEOWOS"),"",HYPERLINK("#INDEX('Value Lookup'!A:A,MATCH(A" &amp; ROW() &amp; ",'Value Lookup'!A:A,0))","Value Lookup"))</f>
        <v>Value Lookup</v>
      </c>
      <c r="F85" s="4" t="str">
        <f>IF(ISERROR("HOMEOWOS"),"",HYPERLINK("#INDEX('Frequencies'!A:A,MATCH(A" &amp; ROW() &amp; ",'Frequencies'!A:A,0))","Frequencies"))</f>
        <v>Frequencies</v>
      </c>
      <c r="G85" s="2">
        <v>12</v>
      </c>
      <c r="H85" s="2"/>
      <c r="I85" s="2"/>
      <c r="J85" s="2"/>
      <c r="K85" s="2"/>
      <c r="L85" s="2"/>
    </row>
    <row r="86" spans="1:12" ht="50.1" hidden="1" customHeight="1" x14ac:dyDescent="0.25">
      <c r="A86" s="3" t="s">
        <v>255</v>
      </c>
      <c r="B86" s="2" t="s">
        <v>256</v>
      </c>
      <c r="C86" s="2" t="s">
        <v>257</v>
      </c>
      <c r="D86" s="2" t="s">
        <v>41</v>
      </c>
      <c r="E86" s="2" t="str">
        <f>IF(ISERROR("HHSIZE"),"","Range: 1 - 15")</f>
        <v>Range: 1 - 15</v>
      </c>
      <c r="F86" s="4" t="str">
        <f>IF(ISERROR("HHSIZE"),"",HYPERLINK("#INDEX('Frequencies'!A:A,MATCH(A" &amp; ROW() &amp; ",'Frequencies'!A:A,0))","Frequencies"))</f>
        <v>Frequencies</v>
      </c>
      <c r="G86" s="2">
        <v>13</v>
      </c>
      <c r="H86" s="2"/>
      <c r="I86" s="2"/>
      <c r="J86" s="2"/>
      <c r="K86" s="2"/>
      <c r="L86" s="2"/>
    </row>
    <row r="87" spans="1:12" ht="50.1" hidden="1" customHeight="1" x14ac:dyDescent="0.25">
      <c r="A87" s="3" t="s">
        <v>520</v>
      </c>
      <c r="B87" s="2" t="s">
        <v>521</v>
      </c>
      <c r="C87" s="2" t="s">
        <v>522</v>
      </c>
      <c r="D87" s="2" t="s">
        <v>41</v>
      </c>
      <c r="E87" s="2" t="str">
        <f>IF(ISERROR("PUBTIME"),"","Range: 0 - 60")</f>
        <v>Range: 0 - 60</v>
      </c>
      <c r="F87" s="4" t="str">
        <f>IF(ISERROR("PUBTIME"),"",HYPERLINK("#INDEX('Frequencies'!A:A,MATCH(A" &amp; ROW() &amp; ",'Frequencies'!A:A,0))","Frequencies"))</f>
        <v>Frequencies</v>
      </c>
      <c r="G87" s="2"/>
      <c r="H87" s="2">
        <v>53</v>
      </c>
      <c r="I87" s="2"/>
      <c r="J87" s="2"/>
      <c r="K87" s="2"/>
      <c r="L87" s="2"/>
    </row>
    <row r="88" spans="1:12" ht="50.1" hidden="1" customHeight="1" x14ac:dyDescent="0.25">
      <c r="A88" s="3" t="s">
        <v>945</v>
      </c>
      <c r="B88" s="2" t="s">
        <v>946</v>
      </c>
      <c r="C88" s="2" t="s">
        <v>947</v>
      </c>
      <c r="D88" s="2" t="s">
        <v>15</v>
      </c>
      <c r="E88" s="4" t="str">
        <f>IF(ISERROR("WRKTIME"),"",HYPERLINK("#INDEX('Value Lookup'!A:A,MATCH(A" &amp; ROW() &amp; ",'Value Lookup'!A:A,0))","Value Lookup"))</f>
        <v>Value Lookup</v>
      </c>
      <c r="F88" s="4" t="str">
        <f>IF(ISERROR("WRKTIME"),"",HYPERLINK("#INDEX('Frequencies'!A:A,MATCH(A" &amp; ROW() &amp; ",'Frequencies'!A:A,0))","Frequencies"))</f>
        <v>Frequencies</v>
      </c>
      <c r="G88" s="2"/>
      <c r="H88" s="2">
        <v>54</v>
      </c>
      <c r="I88" s="2"/>
      <c r="J88" s="2"/>
      <c r="K88" s="2"/>
      <c r="L88" s="2"/>
    </row>
    <row r="89" spans="1:12" ht="50.1" hidden="1" customHeight="1" x14ac:dyDescent="0.25">
      <c r="A89" s="3" t="s">
        <v>262</v>
      </c>
      <c r="B89" s="2" t="s">
        <v>263</v>
      </c>
      <c r="C89" s="2" t="s">
        <v>264</v>
      </c>
      <c r="D89" s="2" t="s">
        <v>41</v>
      </c>
      <c r="E89" s="2" t="str">
        <f>IF(ISERROR("HHVEHCNT"),"","Range: 0 - 12")</f>
        <v>Range: 0 - 12</v>
      </c>
      <c r="F89" s="4" t="str">
        <f>IF(ISERROR("HHVEHCNT"),"",HYPERLINK("#INDEX('Frequencies'!A:A,MATCH(A" &amp; ROW() &amp; ",'Frequencies'!A:A,0))","Frequencies"))</f>
        <v>Frequencies</v>
      </c>
      <c r="G89" s="2">
        <v>14</v>
      </c>
      <c r="H89" s="2"/>
      <c r="I89" s="2"/>
      <c r="J89" s="2"/>
      <c r="K89" s="2"/>
      <c r="L89" s="2"/>
    </row>
    <row r="90" spans="1:12" ht="50.1" hidden="1" customHeight="1" x14ac:dyDescent="0.25">
      <c r="A90" s="3" t="s">
        <v>239</v>
      </c>
      <c r="B90" s="2" t="s">
        <v>240</v>
      </c>
      <c r="C90" s="2" t="s">
        <v>241</v>
      </c>
      <c r="D90" s="2" t="s">
        <v>15</v>
      </c>
      <c r="E90" s="4" t="str">
        <f>IF(ISERROR("HHFAMINC"),"",HYPERLINK("#INDEX('Value Lookup'!A:A,MATCH(A" &amp; ROW() &amp; ",'Value Lookup'!A:A,0))","Value Lookup"))</f>
        <v>Value Lookup</v>
      </c>
      <c r="F90" s="4" t="str">
        <f>IF(ISERROR("HHFAMINC"),"",HYPERLINK("#INDEX('Frequencies'!A:A,MATCH(A" &amp; ROW() &amp; ",'Frequencies'!A:A,0))","Frequencies"))</f>
        <v>Frequencies</v>
      </c>
      <c r="G90" s="2">
        <v>15</v>
      </c>
      <c r="H90" s="2"/>
      <c r="I90" s="2"/>
      <c r="J90" s="2"/>
      <c r="K90" s="2"/>
      <c r="L90" s="2"/>
    </row>
    <row r="91" spans="1:12" ht="50.1" hidden="1" customHeight="1" x14ac:dyDescent="0.25">
      <c r="A91" s="3" t="s">
        <v>334</v>
      </c>
      <c r="B91" s="2" t="s">
        <v>335</v>
      </c>
      <c r="C91" s="2" t="s">
        <v>336</v>
      </c>
      <c r="D91" s="2" t="s">
        <v>15</v>
      </c>
      <c r="E91" s="4" t="str">
        <f>IF(ISERROR("LANDLINE"),"",HYPERLINK("#INDEX('Value Lookup'!A:A,MATCH(A" &amp; ROW() &amp; ",'Value Lookup'!A:A,0))","Value Lookup"))</f>
        <v>Value Lookup</v>
      </c>
      <c r="F91" s="4" t="str">
        <f>IF(ISERROR("LANDLINE"),"",HYPERLINK("#INDEX('Frequencies'!A:A,MATCH(A" &amp; ROW() &amp; ",'Frequencies'!A:A,0))","Frequencies"))</f>
        <v>Frequencies</v>
      </c>
      <c r="G91" s="2">
        <v>16</v>
      </c>
      <c r="H91" s="2"/>
      <c r="I91" s="2"/>
      <c r="J91" s="2"/>
      <c r="K91" s="2"/>
      <c r="L91" s="2"/>
    </row>
    <row r="92" spans="1:12" ht="50.1" hidden="1" customHeight="1" x14ac:dyDescent="0.25">
      <c r="A92" s="3" t="s">
        <v>491</v>
      </c>
      <c r="B92" s="2" t="s">
        <v>492</v>
      </c>
      <c r="C92" s="2" t="s">
        <v>493</v>
      </c>
      <c r="D92" s="2" t="s">
        <v>15</v>
      </c>
      <c r="E92" s="4" t="str">
        <f>IF(ISERROR("PC"),"",HYPERLINK("#INDEX('Value Lookup'!A:A,MATCH(A" &amp; ROW() &amp; ",'Value Lookup'!A:A,0))","Value Lookup"))</f>
        <v>Value Lookup</v>
      </c>
      <c r="F92" s="4" t="str">
        <f>IF(ISERROR("PC"),"",HYPERLINK("#INDEX('Frequencies'!A:A,MATCH(A" &amp; ROW() &amp; ",'Frequencies'!A:A,0))","Frequencies"))</f>
        <v>Frequencies</v>
      </c>
      <c r="G92" s="2">
        <v>17</v>
      </c>
      <c r="H92" s="2"/>
      <c r="I92" s="2"/>
      <c r="J92" s="2"/>
      <c r="K92" s="2"/>
      <c r="L92" s="2"/>
    </row>
    <row r="93" spans="1:12" ht="50.1" hidden="1" customHeight="1" x14ac:dyDescent="0.25">
      <c r="A93" s="3" t="s">
        <v>615</v>
      </c>
      <c r="B93" s="2" t="s">
        <v>616</v>
      </c>
      <c r="C93" s="2" t="s">
        <v>617</v>
      </c>
      <c r="D93" s="2" t="s">
        <v>15</v>
      </c>
      <c r="E93" s="4" t="str">
        <f>IF(ISERROR("SPHONE"),"",HYPERLINK("#INDEX('Value Lookup'!A:A,MATCH(A" &amp; ROW() &amp; ",'Value Lookup'!A:A,0))","Value Lookup"))</f>
        <v>Value Lookup</v>
      </c>
      <c r="F93" s="4" t="str">
        <f>IF(ISERROR("SPHONE"),"",HYPERLINK("#INDEX('Frequencies'!A:A,MATCH(A" &amp; ROW() &amp; ",'Frequencies'!A:A,0))","Frequencies"))</f>
        <v>Frequencies</v>
      </c>
      <c r="G93" s="2">
        <v>18</v>
      </c>
      <c r="H93" s="2"/>
      <c r="I93" s="2"/>
      <c r="J93" s="2"/>
      <c r="K93" s="2"/>
      <c r="L93" s="2"/>
    </row>
    <row r="94" spans="1:12" ht="50.1" hidden="1" customHeight="1" x14ac:dyDescent="0.25">
      <c r="A94" s="3" t="s">
        <v>639</v>
      </c>
      <c r="B94" s="2" t="s">
        <v>640</v>
      </c>
      <c r="C94" s="2" t="s">
        <v>641</v>
      </c>
      <c r="D94" s="2" t="s">
        <v>15</v>
      </c>
      <c r="E94" s="4" t="str">
        <f>IF(ISERROR("TAB"),"",HYPERLINK("#INDEX('Value Lookup'!A:A,MATCH(A" &amp; ROW() &amp; ",'Value Lookup'!A:A,0))","Value Lookup"))</f>
        <v>Value Lookup</v>
      </c>
      <c r="F94" s="4" t="str">
        <f>IF(ISERROR("TAB"),"",HYPERLINK("#INDEX('Frequencies'!A:A,MATCH(A" &amp; ROW() &amp; ",'Frequencies'!A:A,0))","Frequencies"))</f>
        <v>Frequencies</v>
      </c>
      <c r="G94" s="2">
        <v>19</v>
      </c>
      <c r="H94" s="2"/>
      <c r="I94" s="2"/>
      <c r="J94" s="2"/>
      <c r="K94" s="2"/>
      <c r="L94" s="2"/>
    </row>
    <row r="95" spans="1:12" ht="50.1" hidden="1" customHeight="1" x14ac:dyDescent="0.25">
      <c r="A95" s="3" t="s">
        <v>941</v>
      </c>
      <c r="B95" s="2" t="s">
        <v>942</v>
      </c>
      <c r="C95" s="2"/>
      <c r="D95" s="2" t="s">
        <v>15</v>
      </c>
      <c r="E95" s="4" t="str">
        <f>IF(ISERROR("WRKHR"),"",HYPERLINK("#INDEX('Value Lookup'!A:A,MATCH(A" &amp; ROW() &amp; ",'Value Lookup'!A:A,0))","Value Lookup"))</f>
        <v>Value Lookup</v>
      </c>
      <c r="F95" s="4" t="str">
        <f>IF(ISERROR("WRKHR"),"",HYPERLINK("#INDEX('Frequencies'!A:A,MATCH(A" &amp; ROW() &amp; ",'Frequencies'!A:A,0))","Frequencies"))</f>
        <v>Frequencies</v>
      </c>
      <c r="G95" s="2"/>
      <c r="H95" s="2">
        <v>55</v>
      </c>
      <c r="I95" s="2"/>
      <c r="J95" s="2"/>
      <c r="K95" s="2"/>
      <c r="L95" s="2"/>
    </row>
    <row r="96" spans="1:12" ht="50.1" hidden="1" customHeight="1" x14ac:dyDescent="0.25">
      <c r="A96" s="3" t="s">
        <v>401</v>
      </c>
      <c r="B96" s="2" t="s">
        <v>402</v>
      </c>
      <c r="C96" s="2" t="s">
        <v>403</v>
      </c>
      <c r="D96" s="2" t="s">
        <v>15</v>
      </c>
      <c r="E96" s="4" t="str">
        <f>IF(ISERROR("MODEL"),"",HYPERLINK("#INDEX('Value Lookup'!A:A,MATCH(A" &amp; ROW() &amp; ",'Value Lookup'!A:A,0))","Value Lookup"))</f>
        <v>Value Lookup</v>
      </c>
      <c r="F96" s="4" t="str">
        <f>IF(ISERROR("MODEL"),"",HYPERLINK("#INDEX('Frequencies'!A:A,MATCH(A" &amp; ROW() &amp; ",'Frequencies'!A:A,0))","Frequencies"))</f>
        <v>Frequencies</v>
      </c>
      <c r="G96" s="2"/>
      <c r="H96" s="2"/>
      <c r="I96" s="2">
        <v>7</v>
      </c>
      <c r="J96" s="2"/>
      <c r="K96" s="2"/>
      <c r="L96" s="2"/>
    </row>
    <row r="97" spans="1:12" ht="50.1" hidden="1" customHeight="1" x14ac:dyDescent="0.25">
      <c r="A97" s="3" t="s">
        <v>404</v>
      </c>
      <c r="B97" s="2" t="s">
        <v>405</v>
      </c>
      <c r="C97" s="2" t="s">
        <v>406</v>
      </c>
      <c r="D97" s="2" t="s">
        <v>15</v>
      </c>
      <c r="E97" s="4" t="str">
        <f>IF(ISERROR("MODEL_O"),"",HYPERLINK("#INDEX('Value Lookup'!A:A,MATCH(A" &amp; ROW() &amp; ",'Value Lookup'!A:A,0))","Value Lookup"))</f>
        <v>Value Lookup</v>
      </c>
      <c r="F97" s="4" t="str">
        <f>IF(ISERROR("MODEL_O"),"",HYPERLINK("#INDEX('Frequencies'!A:A,MATCH(A" &amp; ROW() &amp; ",'Frequencies'!A:A,0))","Frequencies"))</f>
        <v>Frequencies</v>
      </c>
      <c r="G97" s="2"/>
      <c r="H97" s="2"/>
      <c r="I97" s="2">
        <v>8</v>
      </c>
      <c r="J97" s="2"/>
      <c r="K97" s="2"/>
      <c r="L97" s="2"/>
    </row>
    <row r="98" spans="1:12" ht="50.1" hidden="1" customHeight="1" x14ac:dyDescent="0.25">
      <c r="A98" s="3" t="s">
        <v>437</v>
      </c>
      <c r="B98" s="2" t="s">
        <v>438</v>
      </c>
      <c r="C98" s="2" t="s">
        <v>439</v>
      </c>
      <c r="D98" s="2" t="s">
        <v>15</v>
      </c>
      <c r="E98" s="4" t="str">
        <f>IF(ISERROR("ODEVICE"),"",HYPERLINK("#INDEX('Value Lookup'!A:A,MATCH(A" &amp; ROW() &amp; ",'Value Lookup'!A:A,0))","Value Lookup"))</f>
        <v>Value Lookup</v>
      </c>
      <c r="F98" s="4" t="str">
        <f>IF(ISERROR("ODEVICE"),"",HYPERLINK("#INDEX('Frequencies'!A:A,MATCH(A" &amp; ROW() &amp; ",'Frequencies'!A:A,0))","Frequencies"))</f>
        <v>Frequencies</v>
      </c>
      <c r="G98" s="2">
        <v>20</v>
      </c>
      <c r="H98" s="2"/>
      <c r="I98" s="2"/>
      <c r="J98" s="2"/>
      <c r="K98" s="2"/>
      <c r="L98" s="2"/>
    </row>
    <row r="99" spans="1:12" ht="50.1" hidden="1" customHeight="1" x14ac:dyDescent="0.25">
      <c r="A99" s="3" t="s">
        <v>440</v>
      </c>
      <c r="B99" s="2" t="s">
        <v>441</v>
      </c>
      <c r="C99" s="2" t="s">
        <v>391</v>
      </c>
      <c r="D99" s="2" t="s">
        <v>15</v>
      </c>
      <c r="E99" s="4" t="str">
        <f>IF(ISERROR("ODEVICE_O"),"",HYPERLINK("#INDEX('Value Lookup'!A:A,MATCH(A" &amp; ROW() &amp; ",'Value Lookup'!A:A,0))","Value Lookup"))</f>
        <v>Value Lookup</v>
      </c>
      <c r="F99" s="4" t="str">
        <f>IF(ISERROR("ODEVICE_O"),"",HYPERLINK("#INDEX('Frequencies'!A:A,MATCH(A" &amp; ROW() &amp; ",'Frequencies'!A:A,0))","Frequencies"))</f>
        <v>Frequencies</v>
      </c>
      <c r="G99" s="2">
        <v>21</v>
      </c>
      <c r="H99" s="2"/>
      <c r="I99" s="2"/>
      <c r="J99" s="2"/>
      <c r="K99" s="2"/>
      <c r="L99" s="2"/>
    </row>
    <row r="100" spans="1:12" ht="50.1" hidden="1" customHeight="1" x14ac:dyDescent="0.25">
      <c r="A100" s="3" t="s">
        <v>851</v>
      </c>
      <c r="B100" s="2" t="s">
        <v>852</v>
      </c>
      <c r="C100" s="2" t="s">
        <v>853</v>
      </c>
      <c r="D100" s="2" t="s">
        <v>15</v>
      </c>
      <c r="E100" s="4" t="str">
        <f>IF(ISERROR("WALK"),"",HYPERLINK("#INDEX('Value Lookup'!A:A,MATCH(A" &amp; ROW() &amp; ",'Value Lookup'!A:A,0))","Value Lookup"))</f>
        <v>Value Lookup</v>
      </c>
      <c r="F100" s="4" t="str">
        <f>IF(ISERROR("WALK"),"",HYPERLINK("#INDEX('Frequencies'!A:A,MATCH(A" &amp; ROW() &amp; ",'Frequencies'!A:A,0))","Frequencies"))</f>
        <v>Frequencies</v>
      </c>
      <c r="G100" s="2">
        <v>22</v>
      </c>
      <c r="H100" s="2"/>
      <c r="I100" s="2"/>
      <c r="J100" s="2"/>
      <c r="K100" s="2"/>
      <c r="L100" s="2"/>
    </row>
    <row r="101" spans="1:12" ht="50.1" customHeight="1" x14ac:dyDescent="0.25">
      <c r="A101" s="3" t="s">
        <v>628</v>
      </c>
      <c r="B101" s="2" t="s">
        <v>629</v>
      </c>
      <c r="C101" s="2" t="s">
        <v>630</v>
      </c>
      <c r="D101" s="2" t="s">
        <v>15</v>
      </c>
      <c r="E101" s="2" t="str">
        <f>IF(ISERROR("STRTAMPM"),"","NA")</f>
        <v>NA</v>
      </c>
      <c r="F101" s="4" t="str">
        <f>IF(ISERROR("STRTAMPM"),"",HYPERLINK("#INDEX('Frequencies'!A:A,MATCH(A" &amp; ROW() &amp; ",'Frequencies'!A:A,0))","Frequencies"))</f>
        <v>Frequencies</v>
      </c>
      <c r="G101" s="2"/>
      <c r="H101" s="2"/>
      <c r="I101" s="2"/>
      <c r="J101" s="2">
        <v>12</v>
      </c>
      <c r="K101" s="2"/>
      <c r="L101" s="2"/>
    </row>
    <row r="102" spans="1:12" ht="50.1" customHeight="1" x14ac:dyDescent="0.25">
      <c r="A102" s="3" t="s">
        <v>172</v>
      </c>
      <c r="B102" s="2" t="s">
        <v>173</v>
      </c>
      <c r="C102" s="2" t="s">
        <v>171</v>
      </c>
      <c r="D102" s="2" t="s">
        <v>15</v>
      </c>
      <c r="E102" s="2" t="str">
        <f>IF(ISERROR("ENDHOUR"),"","NA")</f>
        <v>NA</v>
      </c>
      <c r="F102" s="4" t="str">
        <f>IF(ISERROR("ENDHOUR"),"",HYPERLINK("#INDEX('Frequencies'!A:A,MATCH(A" &amp; ROW() &amp; ",'Frequencies'!A:A,0))","Frequencies"))</f>
        <v>Frequencies</v>
      </c>
      <c r="G102" s="2"/>
      <c r="H102" s="2"/>
      <c r="I102" s="2"/>
      <c r="J102" s="2">
        <v>13</v>
      </c>
      <c r="K102" s="2"/>
      <c r="L102" s="2"/>
    </row>
    <row r="103" spans="1:12" ht="50.1" hidden="1" customHeight="1" x14ac:dyDescent="0.25">
      <c r="A103" s="3" t="s">
        <v>46</v>
      </c>
      <c r="B103" s="2" t="s">
        <v>47</v>
      </c>
      <c r="C103" s="2" t="s">
        <v>48</v>
      </c>
      <c r="D103" s="2" t="s">
        <v>15</v>
      </c>
      <c r="E103" s="4" t="str">
        <f>IF(ISERROR("BIKE"),"",HYPERLINK("#INDEX('Value Lookup'!A:A,MATCH(A" &amp; ROW() &amp; ",'Value Lookup'!A:A,0))","Value Lookup"))</f>
        <v>Value Lookup</v>
      </c>
      <c r="F103" s="4" t="str">
        <f>IF(ISERROR("BIKE"),"",HYPERLINK("#INDEX('Frequencies'!A:A,MATCH(A" &amp; ROW() &amp; ",'Frequencies'!A:A,0))","Frequencies"))</f>
        <v>Frequencies</v>
      </c>
      <c r="G103" s="2">
        <v>23</v>
      </c>
      <c r="H103" s="2"/>
      <c r="I103" s="2"/>
      <c r="J103" s="2"/>
      <c r="K103" s="2"/>
      <c r="L103" s="2"/>
    </row>
    <row r="104" spans="1:12" ht="50.1" hidden="1" customHeight="1" x14ac:dyDescent="0.25">
      <c r="A104" s="3" t="s">
        <v>85</v>
      </c>
      <c r="B104" s="2" t="s">
        <v>86</v>
      </c>
      <c r="C104" s="2" t="s">
        <v>87</v>
      </c>
      <c r="D104" s="2" t="s">
        <v>15</v>
      </c>
      <c r="E104" s="4" t="str">
        <f>IF(ISERROR("CAR"),"",HYPERLINK("#INDEX('Value Lookup'!A:A,MATCH(A" &amp; ROW() &amp; ",'Value Lookup'!A:A,0))","Value Lookup"))</f>
        <v>Value Lookup</v>
      </c>
      <c r="F104" s="4" t="str">
        <f>IF(ISERROR("CAR"),"",HYPERLINK("#INDEX('Frequencies'!A:A,MATCH(A" &amp; ROW() &amp; ",'Frequencies'!A:A,0))","Frequencies"))</f>
        <v>Frequencies</v>
      </c>
      <c r="G104" s="2">
        <v>24</v>
      </c>
      <c r="H104" s="2"/>
      <c r="I104" s="2"/>
      <c r="J104" s="2"/>
      <c r="K104" s="2"/>
      <c r="L104" s="2"/>
    </row>
    <row r="105" spans="1:12" ht="50.1" hidden="1" customHeight="1" x14ac:dyDescent="0.25">
      <c r="A105" s="3" t="s">
        <v>642</v>
      </c>
      <c r="B105" s="2" t="s">
        <v>643</v>
      </c>
      <c r="C105" s="2" t="s">
        <v>644</v>
      </c>
      <c r="D105" s="2" t="s">
        <v>15</v>
      </c>
      <c r="E105" s="4" t="str">
        <f>IF(ISERROR("TAXI"),"",HYPERLINK("#INDEX('Value Lookup'!A:A,MATCH(A" &amp; ROW() &amp; ",'Value Lookup'!A:A,0))","Value Lookup"))</f>
        <v>Value Lookup</v>
      </c>
      <c r="F105" s="4" t="str">
        <f>IF(ISERROR("TAXI"),"",HYPERLINK("#INDEX('Frequencies'!A:A,MATCH(A" &amp; ROW() &amp; ",'Frequencies'!A:A,0))","Frequencies"))</f>
        <v>Frequencies</v>
      </c>
      <c r="G105" s="2">
        <v>25</v>
      </c>
      <c r="H105" s="2"/>
      <c r="I105" s="2"/>
      <c r="J105" s="2"/>
      <c r="K105" s="2"/>
      <c r="L105" s="2"/>
    </row>
    <row r="106" spans="1:12" ht="50.1" hidden="1" customHeight="1" x14ac:dyDescent="0.25">
      <c r="A106" s="3" t="s">
        <v>82</v>
      </c>
      <c r="B106" s="2" t="s">
        <v>83</v>
      </c>
      <c r="C106" s="2" t="s">
        <v>84</v>
      </c>
      <c r="D106" s="2" t="s">
        <v>15</v>
      </c>
      <c r="E106" s="4" t="str">
        <f>IF(ISERROR("BUS"),"",HYPERLINK("#INDEX('Value Lookup'!A:A,MATCH(A" &amp; ROW() &amp; ",'Value Lookup'!A:A,0))","Value Lookup"))</f>
        <v>Value Lookup</v>
      </c>
      <c r="F106" s="4" t="str">
        <f>IF(ISERROR("BUS"),"",HYPERLINK("#INDEX('Frequencies'!A:A,MATCH(A" &amp; ROW() &amp; ",'Frequencies'!A:A,0))","Frequencies"))</f>
        <v>Frequencies</v>
      </c>
      <c r="G106" s="2">
        <v>26</v>
      </c>
      <c r="H106" s="2"/>
      <c r="I106" s="2"/>
      <c r="J106" s="2"/>
      <c r="K106" s="2"/>
      <c r="L106" s="2"/>
    </row>
    <row r="107" spans="1:12" ht="50.1" hidden="1" customHeight="1" x14ac:dyDescent="0.25">
      <c r="A107" s="3" t="s">
        <v>714</v>
      </c>
      <c r="B107" s="2" t="s">
        <v>715</v>
      </c>
      <c r="C107" s="2" t="s">
        <v>716</v>
      </c>
      <c r="D107" s="2" t="s">
        <v>15</v>
      </c>
      <c r="E107" s="4" t="str">
        <f>IF(ISERROR("TRAIN"),"",HYPERLINK("#INDEX('Value Lookup'!A:A,MATCH(A" &amp; ROW() &amp; ",'Value Lookup'!A:A,0))","Value Lookup"))</f>
        <v>Value Lookup</v>
      </c>
      <c r="F107" s="4" t="str">
        <f>IF(ISERROR("TRAIN"),"",HYPERLINK("#INDEX('Frequencies'!A:A,MATCH(A" &amp; ROW() &amp; ",'Frequencies'!A:A,0))","Frequencies"))</f>
        <v>Frequencies</v>
      </c>
      <c r="G107" s="2">
        <v>27</v>
      </c>
      <c r="H107" s="2"/>
      <c r="I107" s="2"/>
      <c r="J107" s="2"/>
      <c r="K107" s="2"/>
      <c r="L107" s="2"/>
    </row>
    <row r="108" spans="1:12" ht="50.1" hidden="1" customHeight="1" x14ac:dyDescent="0.25">
      <c r="A108" s="3" t="s">
        <v>485</v>
      </c>
      <c r="B108" s="2" t="s">
        <v>486</v>
      </c>
      <c r="C108" s="2" t="s">
        <v>487</v>
      </c>
      <c r="D108" s="2" t="s">
        <v>15</v>
      </c>
      <c r="E108" s="4" t="str">
        <f>IF(ISERROR("PARA"),"",HYPERLINK("#INDEX('Value Lookup'!A:A,MATCH(A" &amp; ROW() &amp; ",'Value Lookup'!A:A,0))","Value Lookup"))</f>
        <v>Value Lookup</v>
      </c>
      <c r="F108" s="4" t="str">
        <f>IF(ISERROR("PARA"),"",HYPERLINK("#INDEX('Frequencies'!A:A,MATCH(A" &amp; ROW() &amp; ",'Frequencies'!A:A,0))","Frequencies"))</f>
        <v>Frequencies</v>
      </c>
      <c r="G108" s="2">
        <v>28</v>
      </c>
      <c r="H108" s="2"/>
      <c r="I108" s="2"/>
      <c r="J108" s="2"/>
      <c r="K108" s="2"/>
      <c r="L108" s="2"/>
    </row>
    <row r="109" spans="1:12" ht="50.1" hidden="1" customHeight="1" x14ac:dyDescent="0.25">
      <c r="A109" s="3" t="s">
        <v>504</v>
      </c>
      <c r="B109" s="2" t="s">
        <v>505</v>
      </c>
      <c r="C109" s="2" t="s">
        <v>506</v>
      </c>
      <c r="D109" s="2" t="s">
        <v>15</v>
      </c>
      <c r="E109" s="4" t="str">
        <f>IF(ISERROR("PRICE"),"",HYPERLINK("#INDEX('Value Lookup'!A:A,MATCH(A" &amp; ROW() &amp; ",'Value Lookup'!A:A,0))","Value Lookup"))</f>
        <v>Value Lookup</v>
      </c>
      <c r="F109" s="4" t="str">
        <f>IF(ISERROR("PRICE"),"",HYPERLINK("#INDEX('Frequencies'!A:A,MATCH(A" &amp; ROW() &amp; ",'Frequencies'!A:A,0))","Frequencies"))</f>
        <v>Frequencies</v>
      </c>
      <c r="G109" s="2">
        <v>29</v>
      </c>
      <c r="H109" s="2"/>
      <c r="I109" s="2"/>
      <c r="J109" s="2"/>
      <c r="K109" s="2"/>
      <c r="L109" s="2"/>
    </row>
    <row r="110" spans="1:12" ht="50.1" hidden="1" customHeight="1" x14ac:dyDescent="0.25">
      <c r="A110" s="3" t="s">
        <v>501</v>
      </c>
      <c r="B110" s="2" t="s">
        <v>502</v>
      </c>
      <c r="C110" s="2" t="s">
        <v>503</v>
      </c>
      <c r="D110" s="2" t="s">
        <v>15</v>
      </c>
      <c r="E110" s="4" t="str">
        <f>IF(ISERROR("PLACE"),"",HYPERLINK("#INDEX('Value Lookup'!A:A,MATCH(A" &amp; ROW() &amp; ",'Value Lookup'!A:A,0))","Value Lookup"))</f>
        <v>Value Lookup</v>
      </c>
      <c r="F110" s="4" t="str">
        <f>IF(ISERROR("PLACE"),"",HYPERLINK("#INDEX('Frequencies'!A:A,MATCH(A" &amp; ROW() &amp; ",'Frequencies'!A:A,0))","Frequencies"))</f>
        <v>Frequencies</v>
      </c>
      <c r="G110" s="2">
        <v>30</v>
      </c>
      <c r="H110" s="2"/>
      <c r="I110" s="2"/>
      <c r="J110" s="2"/>
      <c r="K110" s="2"/>
      <c r="L110" s="2"/>
    </row>
    <row r="111" spans="1:12" ht="50.1" hidden="1" customHeight="1" x14ac:dyDescent="0.25">
      <c r="A111" s="3" t="s">
        <v>854</v>
      </c>
      <c r="B111" s="2" t="s">
        <v>855</v>
      </c>
      <c r="C111" s="2" t="s">
        <v>856</v>
      </c>
      <c r="D111" s="2" t="s">
        <v>15</v>
      </c>
      <c r="E111" s="4" t="str">
        <f>IF(ISERROR("WALK2SAVE"),"",HYPERLINK("#INDEX('Value Lookup'!A:A,MATCH(A" &amp; ROW() &amp; ",'Value Lookup'!A:A,0))","Value Lookup"))</f>
        <v>Value Lookup</v>
      </c>
      <c r="F111" s="4" t="str">
        <f>IF(ISERROR("WALK2SAVE"),"",HYPERLINK("#INDEX('Frequencies'!A:A,MATCH(A" &amp; ROW() &amp; ",'Frequencies'!A:A,0))","Frequencies"))</f>
        <v>Frequencies</v>
      </c>
      <c r="G111" s="2">
        <v>31</v>
      </c>
      <c r="H111" s="2"/>
      <c r="I111" s="2"/>
      <c r="J111" s="2"/>
      <c r="K111" s="2"/>
      <c r="L111" s="2"/>
    </row>
    <row r="112" spans="1:12" ht="50.1" hidden="1" customHeight="1" x14ac:dyDescent="0.25">
      <c r="A112" s="3" t="s">
        <v>49</v>
      </c>
      <c r="B112" s="2" t="s">
        <v>50</v>
      </c>
      <c r="C112" s="2" t="s">
        <v>51</v>
      </c>
      <c r="D112" s="2" t="s">
        <v>15</v>
      </c>
      <c r="E112" s="4" t="str">
        <f>IF(ISERROR("BIKE2SAVE"),"",HYPERLINK("#INDEX('Value Lookup'!A:A,MATCH(A" &amp; ROW() &amp; ",'Value Lookup'!A:A,0))","Value Lookup"))</f>
        <v>Value Lookup</v>
      </c>
      <c r="F112" s="4" t="str">
        <f>IF(ISERROR("BIKE2SAVE"),"",HYPERLINK("#INDEX('Frequencies'!A:A,MATCH(A" &amp; ROW() &amp; ",'Frequencies'!A:A,0))","Frequencies"))</f>
        <v>Frequencies</v>
      </c>
      <c r="G112" s="2">
        <v>32</v>
      </c>
      <c r="H112" s="2"/>
      <c r="I112" s="2"/>
      <c r="J112" s="2"/>
      <c r="K112" s="2"/>
      <c r="L112" s="2"/>
    </row>
    <row r="113" spans="1:12" ht="50.1" hidden="1" customHeight="1" x14ac:dyDescent="0.25">
      <c r="A113" s="3" t="s">
        <v>514</v>
      </c>
      <c r="B113" s="2" t="s">
        <v>515</v>
      </c>
      <c r="C113" s="2" t="s">
        <v>516</v>
      </c>
      <c r="D113" s="2" t="s">
        <v>15</v>
      </c>
      <c r="E113" s="4" t="str">
        <f>IF(ISERROR("PTRANS"),"",HYPERLINK("#INDEX('Value Lookup'!A:A,MATCH(A" &amp; ROW() &amp; ",'Value Lookup'!A:A,0))","Value Lookup"))</f>
        <v>Value Lookup</v>
      </c>
      <c r="F113" s="4" t="str">
        <f>IF(ISERROR("PTRANS"),"",HYPERLINK("#INDEX('Frequencies'!A:A,MATCH(A" &amp; ROW() &amp; ",'Frequencies'!A:A,0))","Frequencies"))</f>
        <v>Frequencies</v>
      </c>
      <c r="G113" s="2">
        <v>33</v>
      </c>
      <c r="H113" s="2"/>
      <c r="I113" s="2"/>
      <c r="J113" s="2"/>
      <c r="K113" s="2"/>
      <c r="L113" s="2"/>
    </row>
    <row r="114" spans="1:12" ht="50.1" customHeight="1" x14ac:dyDescent="0.25">
      <c r="A114" s="3" t="s">
        <v>174</v>
      </c>
      <c r="B114" s="2" t="s">
        <v>175</v>
      </c>
      <c r="C114" s="2" t="s">
        <v>171</v>
      </c>
      <c r="D114" s="2" t="s">
        <v>15</v>
      </c>
      <c r="E114" s="2" t="str">
        <f>IF(ISERROR("ENDMINTE"),"","NA")</f>
        <v>NA</v>
      </c>
      <c r="F114" s="4" t="str">
        <f>IF(ISERROR("ENDMINTE"),"",HYPERLINK("#INDEX('Frequencies'!A:A,MATCH(A" &amp; ROW() &amp; ",'Frequencies'!A:A,0))","Frequencies"))</f>
        <v>Frequencies</v>
      </c>
      <c r="G114" s="2"/>
      <c r="H114" s="2"/>
      <c r="I114" s="2"/>
      <c r="J114" s="2">
        <v>14</v>
      </c>
      <c r="K114" s="2"/>
      <c r="L114" s="2"/>
    </row>
    <row r="115" spans="1:12" ht="50.1" customHeight="1" x14ac:dyDescent="0.25">
      <c r="A115" s="3" t="s">
        <v>169</v>
      </c>
      <c r="B115" s="2" t="s">
        <v>170</v>
      </c>
      <c r="C115" s="2" t="s">
        <v>171</v>
      </c>
      <c r="D115" s="2" t="s">
        <v>15</v>
      </c>
      <c r="E115" s="2" t="str">
        <f>IF(ISERROR("ENDAMPM"),"","NA")</f>
        <v>NA</v>
      </c>
      <c r="F115" s="4" t="str">
        <f>IF(ISERROR("ENDAMPM"),"",HYPERLINK("#INDEX('Frequencies'!A:A,MATCH(A" &amp; ROW() &amp; ",'Frequencies'!A:A,0))","Frequencies"))</f>
        <v>Frequencies</v>
      </c>
      <c r="G115" s="2"/>
      <c r="H115" s="2"/>
      <c r="I115" s="2"/>
      <c r="J115" s="2">
        <v>15</v>
      </c>
      <c r="K115" s="2"/>
      <c r="L115" s="2"/>
    </row>
    <row r="116" spans="1:12" ht="50.1" hidden="1" customHeight="1" x14ac:dyDescent="0.25">
      <c r="A116" s="3" t="s">
        <v>769</v>
      </c>
      <c r="B116" s="2" t="s">
        <v>770</v>
      </c>
      <c r="C116" s="2"/>
      <c r="D116" s="2" t="s">
        <v>15</v>
      </c>
      <c r="E116" s="4" t="str">
        <f>IF(ISERROR("TRIP_CODE"),"",HYPERLINK("#INDEX('Value Lookup'!A:A,MATCH(A" &amp; ROW() &amp; ",'Value Lookup'!A:A,0))","Value Lookup"))</f>
        <v>Value Lookup</v>
      </c>
      <c r="F116" s="4" t="str">
        <f>IF(ISERROR("TRIP_CODE"),"",HYPERLINK("#INDEX('Frequencies'!A:A,MATCH(A" &amp; ROW() &amp; ",'Frequencies'!A:A,0))","Frequencies"))</f>
        <v>Frequencies</v>
      </c>
      <c r="G116" s="2">
        <v>34</v>
      </c>
      <c r="H116" s="2"/>
      <c r="I116" s="2"/>
      <c r="J116" s="2"/>
      <c r="K116" s="2"/>
      <c r="L116" s="2"/>
    </row>
    <row r="117" spans="1:12" ht="50.1" hidden="1" customHeight="1" x14ac:dyDescent="0.25">
      <c r="A117" s="3" t="s">
        <v>205</v>
      </c>
      <c r="B117" s="2" t="s">
        <v>206</v>
      </c>
      <c r="C117" s="2" t="s">
        <v>207</v>
      </c>
      <c r="D117" s="2" t="s">
        <v>15</v>
      </c>
      <c r="E117" s="4" t="str">
        <f>IF(ISERROR("FUTURE"),"",HYPERLINK("#INDEX('Value Lookup'!A:A,MATCH(A" &amp; ROW() &amp; ",'Value Lookup'!A:A,0))","Value Lookup"))</f>
        <v>Value Lookup</v>
      </c>
      <c r="F117" s="4" t="str">
        <f>IF(ISERROR("FUTURE"),"",HYPERLINK("#INDEX('Frequencies'!A:A,MATCH(A" &amp; ROW() &amp; ",'Frequencies'!A:A,0))","Frequencies"))</f>
        <v>Frequencies</v>
      </c>
      <c r="G117" s="2">
        <v>35</v>
      </c>
      <c r="H117" s="2"/>
      <c r="I117" s="2"/>
      <c r="J117" s="2"/>
      <c r="K117" s="2"/>
      <c r="L117" s="2" t="s">
        <v>208</v>
      </c>
    </row>
    <row r="118" spans="1:12" ht="50.1" hidden="1" customHeight="1" x14ac:dyDescent="0.25">
      <c r="A118" s="3" t="s">
        <v>366</v>
      </c>
      <c r="B118" s="2" t="s">
        <v>367</v>
      </c>
      <c r="C118" s="2" t="s">
        <v>368</v>
      </c>
      <c r="D118" s="2" t="s">
        <v>41</v>
      </c>
      <c r="E118" s="2" t="str">
        <f>IF(ISERROR("LONGDIST"),"","Range: 0 - 999")</f>
        <v>Range: 0 - 999</v>
      </c>
      <c r="F118" s="4" t="str">
        <f>IF(ISERROR("LONGDIST"),"",HYPERLINK("#INDEX('Frequencies'!A:A,MATCH(A" &amp; ROW() &amp; ",'Frequencies'!A:A,0))","Frequencies"))</f>
        <v>Frequencies</v>
      </c>
      <c r="G118" s="2">
        <v>36</v>
      </c>
      <c r="H118" s="2"/>
      <c r="I118" s="2"/>
      <c r="J118" s="2"/>
      <c r="K118" s="2"/>
      <c r="L118" s="2" t="s">
        <v>369</v>
      </c>
    </row>
    <row r="119" spans="1:12" ht="50.1" hidden="1" customHeight="1" x14ac:dyDescent="0.25">
      <c r="A119" s="3" t="s">
        <v>342</v>
      </c>
      <c r="B119" s="2" t="s">
        <v>343</v>
      </c>
      <c r="C119" s="2" t="s">
        <v>344</v>
      </c>
      <c r="D119" s="2" t="s">
        <v>41</v>
      </c>
      <c r="E119" s="2" t="str">
        <f>IF(ISERROR("LD_BUSNSS"),"","Range: 0 - [$LONGDIST]")</f>
        <v>Range: 0 - [$LONGDIST]</v>
      </c>
      <c r="F119" s="4" t="str">
        <f>IF(ISERROR("LD_BUSNSS"),"",HYPERLINK("#INDEX('Frequencies'!A:A,MATCH(A" &amp; ROW() &amp; ",'Frequencies'!A:A,0))","Frequencies"))</f>
        <v>Frequencies</v>
      </c>
      <c r="G119" s="2">
        <v>37</v>
      </c>
      <c r="H119" s="2"/>
      <c r="I119" s="2"/>
      <c r="J119" s="2"/>
      <c r="K119" s="2"/>
      <c r="L119" s="2" t="s">
        <v>345</v>
      </c>
    </row>
    <row r="120" spans="1:12" ht="50.1" hidden="1" customHeight="1" x14ac:dyDescent="0.25">
      <c r="A120" s="3" t="s">
        <v>351</v>
      </c>
      <c r="B120" s="2" t="s">
        <v>352</v>
      </c>
      <c r="C120" s="2" t="s">
        <v>353</v>
      </c>
      <c r="D120" s="2" t="s">
        <v>15</v>
      </c>
      <c r="E120" s="4" t="str">
        <f>IF(ISERROR("LD_MODE"),"",HYPERLINK("#INDEX('Value Lookup'!A:A,MATCH(A" &amp; ROW() &amp; ",'Value Lookup'!A:A,0))","Value Lookup"))</f>
        <v>Value Lookup</v>
      </c>
      <c r="F120" s="4" t="str">
        <f>IF(ISERROR("LD_MODE"),"",HYPERLINK("#INDEX('Frequencies'!A:A,MATCH(A" &amp; ROW() &amp; ",'Frequencies'!A:A,0))","Frequencies"))</f>
        <v>Frequencies</v>
      </c>
      <c r="G120" s="2">
        <v>38</v>
      </c>
      <c r="H120" s="2"/>
      <c r="I120" s="2"/>
      <c r="J120" s="2"/>
      <c r="K120" s="2"/>
      <c r="L120" s="2" t="s">
        <v>345</v>
      </c>
    </row>
    <row r="121" spans="1:12" ht="50.1" hidden="1" customHeight="1" x14ac:dyDescent="0.25">
      <c r="A121" s="3" t="s">
        <v>346</v>
      </c>
      <c r="B121" s="2" t="s">
        <v>347</v>
      </c>
      <c r="C121" s="2" t="s">
        <v>348</v>
      </c>
      <c r="D121" s="2" t="s">
        <v>15</v>
      </c>
      <c r="E121" s="4" t="str">
        <f>IF(ISERROR("LD_CITY"),"",HYPERLINK("#INDEX('Value Lookup'!A:A,MATCH(A" &amp; ROW() &amp; ",'Value Lookup'!A:A,0))","Value Lookup"))</f>
        <v>Value Lookup</v>
      </c>
      <c r="F121" s="4" t="str">
        <f>IF(ISERROR("LD_CITY"),"",HYPERLINK("#INDEX('Frequencies'!A:A,MATCH(A" &amp; ROW() &amp; ",'Frequencies'!A:A,0))","Frequencies"))</f>
        <v>Frequencies</v>
      </c>
      <c r="G121" s="2">
        <v>39</v>
      </c>
      <c r="H121" s="2"/>
      <c r="I121" s="2"/>
      <c r="J121" s="2"/>
      <c r="K121" s="2"/>
      <c r="L121" s="2" t="s">
        <v>345</v>
      </c>
    </row>
    <row r="122" spans="1:12" ht="50.1" hidden="1" customHeight="1" x14ac:dyDescent="0.25">
      <c r="A122" s="3" t="s">
        <v>354</v>
      </c>
      <c r="B122" s="2" t="s">
        <v>355</v>
      </c>
      <c r="C122" s="2" t="s">
        <v>356</v>
      </c>
      <c r="D122" s="2" t="s">
        <v>15</v>
      </c>
      <c r="E122" s="4" t="str">
        <f>IF(ISERROR("LD_STATE"),"",HYPERLINK("#INDEX('Value Lookup'!A:A,MATCH(A" &amp; ROW() &amp; ",'Value Lookup'!A:A,0))","Value Lookup"))</f>
        <v>Value Lookup</v>
      </c>
      <c r="F122" s="4" t="str">
        <f>IF(ISERROR("LD_STATE"),"",HYPERLINK("#INDEX('Frequencies'!A:A,MATCH(A" &amp; ROW() &amp; ",'Frequencies'!A:A,0))","Frequencies"))</f>
        <v>Frequencies</v>
      </c>
      <c r="G122" s="2">
        <v>40</v>
      </c>
      <c r="H122" s="2"/>
      <c r="I122" s="2"/>
      <c r="J122" s="2"/>
      <c r="K122" s="2"/>
      <c r="L122" s="2" t="s">
        <v>345</v>
      </c>
    </row>
    <row r="123" spans="1:12" ht="50.1" hidden="1" customHeight="1" x14ac:dyDescent="0.25">
      <c r="A123" s="3" t="s">
        <v>299</v>
      </c>
      <c r="B123" s="2" t="s">
        <v>300</v>
      </c>
      <c r="C123" s="2" t="s">
        <v>301</v>
      </c>
      <c r="D123" s="2" t="s">
        <v>15</v>
      </c>
      <c r="E123" s="4" t="str">
        <f>IF(ISERROR("INVEST_1"),"",HYPERLINK("#INDEX('Value Lookup'!A:A,MATCH(A" &amp; ROW() &amp; ",'Value Lookup'!A:A,0))","Value Lookup"))</f>
        <v>Value Lookup</v>
      </c>
      <c r="F123" s="4" t="str">
        <f>IF(ISERROR("INVEST_1"),"",HYPERLINK("#INDEX('Frequencies'!A:A,MATCH(A" &amp; ROW() &amp; ",'Frequencies'!A:A,0))","Frequencies"))</f>
        <v>Frequencies</v>
      </c>
      <c r="G123" s="2">
        <v>41</v>
      </c>
      <c r="H123" s="2"/>
      <c r="I123" s="2"/>
      <c r="J123" s="2"/>
      <c r="K123" s="2"/>
      <c r="L123" s="2" t="s">
        <v>302</v>
      </c>
    </row>
    <row r="124" spans="1:12" ht="50.1" hidden="1" customHeight="1" x14ac:dyDescent="0.25">
      <c r="A124" s="3" t="s">
        <v>195</v>
      </c>
      <c r="B124" s="2" t="s">
        <v>196</v>
      </c>
      <c r="C124" s="2" t="s">
        <v>197</v>
      </c>
      <c r="D124" s="2" t="s">
        <v>15</v>
      </c>
      <c r="E124" s="4" t="str">
        <f>IF(ISERROR("FUELTYPE"),"",HYPERLINK("#INDEX('Value Lookup'!A:A,MATCH(A" &amp; ROW() &amp; ",'Value Lookup'!A:A,0))","Value Lookup"))</f>
        <v>Value Lookup</v>
      </c>
      <c r="F124" s="4" t="str">
        <f>IF(ISERROR("FUELTYPE"),"",HYPERLINK("#INDEX('Frequencies'!A:A,MATCH(A" &amp; ROW() &amp; ",'Frequencies'!A:A,0))","Frequencies"))</f>
        <v>Frequencies</v>
      </c>
      <c r="G124" s="2"/>
      <c r="H124" s="2"/>
      <c r="I124" s="2">
        <v>9</v>
      </c>
      <c r="J124" s="2"/>
      <c r="K124" s="2"/>
      <c r="L124" s="2"/>
    </row>
    <row r="125" spans="1:12" ht="50.1" hidden="1" customHeight="1" x14ac:dyDescent="0.25">
      <c r="A125" s="3" t="s">
        <v>306</v>
      </c>
      <c r="B125" s="2" t="s">
        <v>307</v>
      </c>
      <c r="C125" s="2" t="s">
        <v>301</v>
      </c>
      <c r="D125" s="2" t="s">
        <v>15</v>
      </c>
      <c r="E125" s="4" t="str">
        <f>IF(ISERROR("INVEST_2"),"",HYPERLINK("#INDEX('Value Lookup'!A:A,MATCH(A" &amp; ROW() &amp; ",'Value Lookup'!A:A,0))","Value Lookup"))</f>
        <v>Value Lookup</v>
      </c>
      <c r="F125" s="4" t="str">
        <f>IF(ISERROR("INVEST_2"),"",HYPERLINK("#INDEX('Frequencies'!A:A,MATCH(A" &amp; ROW() &amp; ",'Frequencies'!A:A,0))","Frequencies"))</f>
        <v>Frequencies</v>
      </c>
      <c r="G125" s="2">
        <v>42</v>
      </c>
      <c r="H125" s="2"/>
      <c r="I125" s="2"/>
      <c r="J125" s="2"/>
      <c r="K125" s="2"/>
      <c r="L125" s="2" t="s">
        <v>305</v>
      </c>
    </row>
    <row r="126" spans="1:12" ht="50.1" hidden="1" customHeight="1" x14ac:dyDescent="0.25">
      <c r="A126" s="3" t="s">
        <v>308</v>
      </c>
      <c r="B126" s="2" t="s">
        <v>309</v>
      </c>
      <c r="C126" s="2" t="s">
        <v>301</v>
      </c>
      <c r="D126" s="2" t="s">
        <v>15</v>
      </c>
      <c r="E126" s="4" t="str">
        <f>IF(ISERROR("INVEST_3"),"",HYPERLINK("#INDEX('Value Lookup'!A:A,MATCH(A" &amp; ROW() &amp; ",'Value Lookup'!A:A,0))","Value Lookup"))</f>
        <v>Value Lookup</v>
      </c>
      <c r="F126" s="4" t="str">
        <f>IF(ISERROR("INVEST_3"),"",HYPERLINK("#INDEX('Frequencies'!A:A,MATCH(A" &amp; ROW() &amp; ",'Frequencies'!A:A,0))","Frequencies"))</f>
        <v>Frequencies</v>
      </c>
      <c r="G126" s="2">
        <v>43</v>
      </c>
      <c r="H126" s="2"/>
      <c r="I126" s="2"/>
      <c r="J126" s="2"/>
      <c r="K126" s="2"/>
      <c r="L126" s="2" t="s">
        <v>310</v>
      </c>
    </row>
    <row r="127" spans="1:12" ht="50.1" hidden="1" customHeight="1" x14ac:dyDescent="0.25">
      <c r="A127" s="3" t="s">
        <v>311</v>
      </c>
      <c r="B127" s="2" t="s">
        <v>312</v>
      </c>
      <c r="C127" s="2" t="s">
        <v>301</v>
      </c>
      <c r="D127" s="2" t="s">
        <v>15</v>
      </c>
      <c r="E127" s="4" t="str">
        <f>IF(ISERROR("INVEST_4"),"",HYPERLINK("#INDEX('Value Lookup'!A:A,MATCH(A" &amp; ROW() &amp; ",'Value Lookup'!A:A,0))","Value Lookup"))</f>
        <v>Value Lookup</v>
      </c>
      <c r="F127" s="4" t="str">
        <f>IF(ISERROR("INVEST_4"),"",HYPERLINK("#INDEX('Frequencies'!A:A,MATCH(A" &amp; ROW() &amp; ",'Frequencies'!A:A,0))","Frequencies"))</f>
        <v>Frequencies</v>
      </c>
      <c r="G127" s="2">
        <v>44</v>
      </c>
      <c r="H127" s="2"/>
      <c r="I127" s="2"/>
      <c r="J127" s="2"/>
      <c r="K127" s="2"/>
      <c r="L127" s="2" t="s">
        <v>313</v>
      </c>
    </row>
    <row r="128" spans="1:12" ht="50.1" hidden="1" customHeight="1" x14ac:dyDescent="0.25">
      <c r="A128" s="3" t="s">
        <v>314</v>
      </c>
      <c r="B128" s="2" t="s">
        <v>315</v>
      </c>
      <c r="C128" s="2" t="s">
        <v>301</v>
      </c>
      <c r="D128" s="2" t="s">
        <v>15</v>
      </c>
      <c r="E128" s="4" t="str">
        <f>IF(ISERROR("INVEST_5"),"",HYPERLINK("#INDEX('Value Lookup'!A:A,MATCH(A" &amp; ROW() &amp; ",'Value Lookup'!A:A,0))","Value Lookup"))</f>
        <v>Value Lookup</v>
      </c>
      <c r="F128" s="4" t="str">
        <f>IF(ISERROR("INVEST_5"),"",HYPERLINK("#INDEX('Frequencies'!A:A,MATCH(A" &amp; ROW() &amp; ",'Frequencies'!A:A,0))","Frequencies"))</f>
        <v>Frequencies</v>
      </c>
      <c r="G128" s="2">
        <v>45</v>
      </c>
      <c r="H128" s="2"/>
      <c r="I128" s="2"/>
      <c r="J128" s="2"/>
      <c r="K128" s="2"/>
      <c r="L128" s="2" t="s">
        <v>310</v>
      </c>
    </row>
    <row r="129" spans="1:12" ht="50.1" hidden="1" customHeight="1" x14ac:dyDescent="0.25">
      <c r="A129" s="3" t="s">
        <v>316</v>
      </c>
      <c r="B129" s="2" t="s">
        <v>317</v>
      </c>
      <c r="C129" s="2" t="s">
        <v>301</v>
      </c>
      <c r="D129" s="2" t="s">
        <v>15</v>
      </c>
      <c r="E129" s="4" t="str">
        <f>IF(ISERROR("INVEST_6"),"",HYPERLINK("#INDEX('Value Lookup'!A:A,MATCH(A" &amp; ROW() &amp; ",'Value Lookup'!A:A,0))","Value Lookup"))</f>
        <v>Value Lookup</v>
      </c>
      <c r="F129" s="4" t="str">
        <f>IF(ISERROR("INVEST_6"),"",HYPERLINK("#INDEX('Frequencies'!A:A,MATCH(A" &amp; ROW() &amp; ",'Frequencies'!A:A,0))","Frequencies"))</f>
        <v>Frequencies</v>
      </c>
      <c r="G129" s="2">
        <v>46</v>
      </c>
      <c r="H129" s="2"/>
      <c r="I129" s="2"/>
      <c r="J129" s="2"/>
      <c r="K129" s="2"/>
      <c r="L129" s="2" t="s">
        <v>318</v>
      </c>
    </row>
    <row r="130" spans="1:12" ht="50.1" hidden="1" customHeight="1" x14ac:dyDescent="0.25">
      <c r="A130" s="3" t="s">
        <v>319</v>
      </c>
      <c r="B130" s="2" t="s">
        <v>320</v>
      </c>
      <c r="C130" s="2" t="s">
        <v>301</v>
      </c>
      <c r="D130" s="2" t="s">
        <v>15</v>
      </c>
      <c r="E130" s="4" t="str">
        <f>IF(ISERROR("INVEST_7"),"",HYPERLINK("#INDEX('Value Lookup'!A:A,MATCH(A" &amp; ROW() &amp; ",'Value Lookup'!A:A,0))","Value Lookup"))</f>
        <v>Value Lookup</v>
      </c>
      <c r="F130" s="4" t="str">
        <f>IF(ISERROR("INVEST_7"),"",HYPERLINK("#INDEX('Frequencies'!A:A,MATCH(A" &amp; ROW() &amp; ",'Frequencies'!A:A,0))","Frequencies"))</f>
        <v>Frequencies</v>
      </c>
      <c r="G130" s="2">
        <v>47</v>
      </c>
      <c r="H130" s="2"/>
      <c r="I130" s="2"/>
      <c r="J130" s="2"/>
      <c r="K130" s="2"/>
      <c r="L130" s="2" t="s">
        <v>305</v>
      </c>
    </row>
    <row r="131" spans="1:12" ht="50.1" hidden="1" customHeight="1" x14ac:dyDescent="0.25">
      <c r="A131" s="3" t="s">
        <v>321</v>
      </c>
      <c r="B131" s="2" t="s">
        <v>322</v>
      </c>
      <c r="C131" s="2" t="s">
        <v>301</v>
      </c>
      <c r="D131" s="2" t="s">
        <v>15</v>
      </c>
      <c r="E131" s="4" t="str">
        <f>IF(ISERROR("INVEST_8"),"",HYPERLINK("#INDEX('Value Lookup'!A:A,MATCH(A" &amp; ROW() &amp; ",'Value Lookup'!A:A,0))","Value Lookup"))</f>
        <v>Value Lookup</v>
      </c>
      <c r="F131" s="4" t="str">
        <f>IF(ISERROR("INVEST_8"),"",HYPERLINK("#INDEX('Frequencies'!A:A,MATCH(A" &amp; ROW() &amp; ",'Frequencies'!A:A,0))","Frequencies"))</f>
        <v>Frequencies</v>
      </c>
      <c r="G131" s="2">
        <v>48</v>
      </c>
      <c r="H131" s="2"/>
      <c r="I131" s="2"/>
      <c r="J131" s="2"/>
      <c r="K131" s="2"/>
      <c r="L131" s="2" t="s">
        <v>305</v>
      </c>
    </row>
    <row r="132" spans="1:12" ht="50.1" hidden="1" customHeight="1" x14ac:dyDescent="0.25">
      <c r="A132" s="3" t="s">
        <v>323</v>
      </c>
      <c r="B132" s="2" t="s">
        <v>324</v>
      </c>
      <c r="C132" s="2" t="s">
        <v>301</v>
      </c>
      <c r="D132" s="2" t="s">
        <v>15</v>
      </c>
      <c r="E132" s="4" t="str">
        <f>IF(ISERROR("INVEST_9"),"",HYPERLINK("#INDEX('Value Lookup'!A:A,MATCH(A" &amp; ROW() &amp; ",'Value Lookup'!A:A,0))","Value Lookup"))</f>
        <v>Value Lookup</v>
      </c>
      <c r="F132" s="4" t="str">
        <f>IF(ISERROR("INVEST_9"),"",HYPERLINK("#INDEX('Frequencies'!A:A,MATCH(A" &amp; ROW() &amp; ",'Frequencies'!A:A,0))","Frequencies"))</f>
        <v>Frequencies</v>
      </c>
      <c r="G132" s="2">
        <v>49</v>
      </c>
      <c r="H132" s="2"/>
      <c r="I132" s="2"/>
      <c r="J132" s="2"/>
      <c r="K132" s="2"/>
      <c r="L132" s="2" t="s">
        <v>302</v>
      </c>
    </row>
    <row r="133" spans="1:12" ht="50.1" hidden="1" customHeight="1" x14ac:dyDescent="0.25">
      <c r="A133" s="3" t="s">
        <v>303</v>
      </c>
      <c r="B133" s="2" t="s">
        <v>304</v>
      </c>
      <c r="C133" s="2" t="s">
        <v>301</v>
      </c>
      <c r="D133" s="2" t="s">
        <v>15</v>
      </c>
      <c r="E133" s="4" t="str">
        <f>IF(ISERROR("INVEST_10"),"",HYPERLINK("#INDEX('Value Lookup'!A:A,MATCH(A" &amp; ROW() &amp; ",'Value Lookup'!A:A,0))","Value Lookup"))</f>
        <v>Value Lookup</v>
      </c>
      <c r="F133" s="4" t="str">
        <f>IF(ISERROR("INVEST_10"),"",HYPERLINK("#INDEX('Frequencies'!A:A,MATCH(A" &amp; ROW() &amp; ",'Frequencies'!A:A,0))","Frequencies"))</f>
        <v>Frequencies</v>
      </c>
      <c r="G133" s="2">
        <v>50</v>
      </c>
      <c r="H133" s="2"/>
      <c r="I133" s="2"/>
      <c r="J133" s="2"/>
      <c r="K133" s="2"/>
      <c r="L133" s="2" t="s">
        <v>305</v>
      </c>
    </row>
    <row r="134" spans="1:12" ht="50.1" hidden="1" customHeight="1" x14ac:dyDescent="0.25">
      <c r="A134" s="3" t="s">
        <v>327</v>
      </c>
      <c r="B134" s="2" t="s">
        <v>328</v>
      </c>
      <c r="C134" s="2" t="s">
        <v>301</v>
      </c>
      <c r="D134" s="2" t="s">
        <v>15</v>
      </c>
      <c r="E134" s="4" t="str">
        <f>IF(ISERROR("INVEST_NA"),"",HYPERLINK("#INDEX('Value Lookup'!A:A,MATCH(A" &amp; ROW() &amp; ",'Value Lookup'!A:A,0))","Value Lookup"))</f>
        <v>Value Lookup</v>
      </c>
      <c r="F134" s="4" t="str">
        <f>IF(ISERROR("INVEST_NA"),"",HYPERLINK("#INDEX('Frequencies'!A:A,MATCH(A" &amp; ROW() &amp; ",'Frequencies'!A:A,0))","Frequencies"))</f>
        <v>Frequencies</v>
      </c>
      <c r="G134" s="2">
        <v>51</v>
      </c>
      <c r="H134" s="2"/>
      <c r="I134" s="2"/>
      <c r="J134" s="2"/>
      <c r="K134" s="2"/>
      <c r="L134" s="2" t="s">
        <v>318</v>
      </c>
    </row>
    <row r="135" spans="1:12" ht="50.1" hidden="1" customHeight="1" x14ac:dyDescent="0.25">
      <c r="A135" s="3" t="s">
        <v>325</v>
      </c>
      <c r="B135" s="2" t="s">
        <v>326</v>
      </c>
      <c r="C135" s="2" t="s">
        <v>301</v>
      </c>
      <c r="D135" s="2" t="s">
        <v>15</v>
      </c>
      <c r="E135" s="4" t="str">
        <f>IF(ISERROR("INVEST_DK"),"",HYPERLINK("#INDEX('Value Lookup'!A:A,MATCH(A" &amp; ROW() &amp; ",'Value Lookup'!A:A,0))","Value Lookup"))</f>
        <v>Value Lookup</v>
      </c>
      <c r="F135" s="4" t="str">
        <f>IF(ISERROR("INVEST_DK"),"",HYPERLINK("#INDEX('Frequencies'!A:A,MATCH(A" &amp; ROW() &amp; ",'Frequencies'!A:A,0))","Frequencies"))</f>
        <v>Frequencies</v>
      </c>
      <c r="G135" s="2">
        <v>52</v>
      </c>
      <c r="H135" s="2"/>
      <c r="I135" s="2"/>
      <c r="J135" s="2"/>
      <c r="K135" s="2"/>
      <c r="L135" s="2" t="s">
        <v>310</v>
      </c>
    </row>
    <row r="136" spans="1:12" ht="50.1" hidden="1" customHeight="1" x14ac:dyDescent="0.25">
      <c r="A136" s="3" t="s">
        <v>329</v>
      </c>
      <c r="B136" s="2" t="s">
        <v>330</v>
      </c>
      <c r="C136" s="2" t="s">
        <v>301</v>
      </c>
      <c r="D136" s="2" t="s">
        <v>15</v>
      </c>
      <c r="E136" s="4" t="str">
        <f>IF(ISERROR("INVEST_RF"),"",HYPERLINK("#INDEX('Value Lookup'!A:A,MATCH(A" &amp; ROW() &amp; ",'Value Lookup'!A:A,0))","Value Lookup"))</f>
        <v>Value Lookup</v>
      </c>
      <c r="F136" s="4" t="str">
        <f>IF(ISERROR("INVEST_RF"),"",HYPERLINK("#INDEX('Frequencies'!A:A,MATCH(A" &amp; ROW() &amp; ",'Frequencies'!A:A,0))","Frequencies"))</f>
        <v>Frequencies</v>
      </c>
      <c r="G136" s="2">
        <v>53</v>
      </c>
      <c r="H136" s="2"/>
      <c r="I136" s="2"/>
      <c r="J136" s="2"/>
      <c r="K136" s="2"/>
      <c r="L136" s="2" t="s">
        <v>318</v>
      </c>
    </row>
    <row r="137" spans="1:12" ht="50.1" hidden="1" customHeight="1" x14ac:dyDescent="0.25">
      <c r="A137" s="3" t="s">
        <v>250</v>
      </c>
      <c r="B137" s="2" t="s">
        <v>251</v>
      </c>
      <c r="C137" s="2"/>
      <c r="D137" s="2" t="s">
        <v>15</v>
      </c>
      <c r="E137" s="2" t="str">
        <f>IF(ISERROR("HHRELATD"),"","NA")</f>
        <v>NA</v>
      </c>
      <c r="F137" s="4" t="str">
        <f>IF(ISERROR("HHRELATD"),"",HYPERLINK("#INDEX('Frequencies'!A:A,MATCH(A" &amp; ROW() &amp; ",'Frequencies'!A:A,0))","Frequencies"))</f>
        <v>Frequencies</v>
      </c>
      <c r="G137" s="2">
        <v>54</v>
      </c>
      <c r="H137" s="2"/>
      <c r="I137" s="2"/>
      <c r="J137" s="2"/>
      <c r="K137" s="2"/>
      <c r="L137" s="2"/>
    </row>
    <row r="138" spans="1:12" ht="50.1" hidden="1" customHeight="1" x14ac:dyDescent="0.25">
      <c r="A138" s="3" t="s">
        <v>943</v>
      </c>
      <c r="B138" s="2" t="s">
        <v>944</v>
      </c>
      <c r="C138" s="2"/>
      <c r="D138" s="2" t="s">
        <v>15</v>
      </c>
      <c r="E138" s="4" t="str">
        <f>IF(ISERROR("WRKMIN"),"",HYPERLINK("#INDEX('Value Lookup'!A:A,MATCH(A" &amp; ROW() &amp; ",'Value Lookup'!A:A,0))","Value Lookup"))</f>
        <v>Value Lookup</v>
      </c>
      <c r="F138" s="4" t="str">
        <f>IF(ISERROR("WRKMIN"),"",HYPERLINK("#INDEX('Frequencies'!A:A,MATCH(A" &amp; ROW() &amp; ",'Frequencies'!A:A,0))","Frequencies"))</f>
        <v>Frequencies</v>
      </c>
      <c r="G138" s="2"/>
      <c r="H138" s="2">
        <v>56</v>
      </c>
      <c r="I138" s="2"/>
      <c r="J138" s="2"/>
      <c r="K138" s="2"/>
      <c r="L138" s="2"/>
    </row>
    <row r="139" spans="1:12" ht="50.1" hidden="1" customHeight="1" x14ac:dyDescent="0.25">
      <c r="A139" s="3" t="s">
        <v>160</v>
      </c>
      <c r="B139" s="2" t="s">
        <v>161</v>
      </c>
      <c r="C139" s="2"/>
      <c r="D139" s="2" t="s">
        <v>41</v>
      </c>
      <c r="E139" s="2" t="str">
        <f>IF(ISERROR("DRVRCNT"),"","NA")</f>
        <v>NA</v>
      </c>
      <c r="F139" s="4" t="str">
        <f>IF(ISERROR("DRVRCNT"),"",HYPERLINK("#INDEX('Frequencies'!A:A,MATCH(A" &amp; ROW() &amp; ",'Frequencies'!A:A,0))","Frequencies"))</f>
        <v>Frequencies</v>
      </c>
      <c r="G139" s="2">
        <v>55</v>
      </c>
      <c r="H139" s="2"/>
      <c r="I139" s="2"/>
      <c r="J139" s="2"/>
      <c r="K139" s="2"/>
      <c r="L139" s="2"/>
    </row>
    <row r="140" spans="1:12" ht="50.1" hidden="1" customHeight="1" x14ac:dyDescent="0.25">
      <c r="A140" s="3" t="s">
        <v>104</v>
      </c>
      <c r="B140" s="2" t="s">
        <v>105</v>
      </c>
      <c r="C140" s="2"/>
      <c r="D140" s="2" t="s">
        <v>41</v>
      </c>
      <c r="E140" s="2" t="str">
        <f>IF(ISERROR("CNTTDHH"),"","NA")</f>
        <v>NA</v>
      </c>
      <c r="F140" s="4" t="str">
        <f>IF(ISERROR("CNTTDHH"),"",HYPERLINK("#INDEX('Frequencies'!A:A,MATCH(A" &amp; ROW() &amp; ",'Frequencies'!A:A,0))","Frequencies"))</f>
        <v>Frequencies</v>
      </c>
      <c r="G140" s="2">
        <v>56</v>
      </c>
      <c r="H140" s="2"/>
      <c r="I140" s="2"/>
      <c r="J140" s="2"/>
      <c r="K140" s="2"/>
      <c r="L140" s="2"/>
    </row>
    <row r="141" spans="1:12" ht="50.1" hidden="1" customHeight="1" x14ac:dyDescent="0.25">
      <c r="A141" s="3" t="s">
        <v>340</v>
      </c>
      <c r="B141" s="2" t="s">
        <v>341</v>
      </c>
      <c r="C141" s="2"/>
      <c r="D141" s="2" t="s">
        <v>15</v>
      </c>
      <c r="E141" s="2" t="str">
        <f>IF(ISERROR("LATITUDE"),"","NA")</f>
        <v>NA</v>
      </c>
      <c r="F141" s="4" t="str">
        <f>IF(ISERROR("LATITUDE"),"",HYPERLINK("#INDEX('Frequencies'!A:A,MATCH(A" &amp; ROW() &amp; ",'Frequencies'!A:A,0))","Frequencies"))</f>
        <v>Frequencies</v>
      </c>
      <c r="G141" s="2"/>
      <c r="H141" s="2"/>
      <c r="I141" s="2"/>
      <c r="J141" s="2"/>
      <c r="K141" s="2">
        <v>6</v>
      </c>
      <c r="L141" s="2"/>
    </row>
    <row r="142" spans="1:12" ht="50.1" hidden="1" customHeight="1" x14ac:dyDescent="0.25">
      <c r="A142" s="3" t="s">
        <v>258</v>
      </c>
      <c r="B142" s="2" t="s">
        <v>259</v>
      </c>
      <c r="C142" s="2"/>
      <c r="D142" s="2" t="s">
        <v>15</v>
      </c>
      <c r="E142" s="2" t="str">
        <f>IF(ISERROR("HHSTATE"),"","NA")</f>
        <v>NA</v>
      </c>
      <c r="F142" s="4" t="str">
        <f>IF(ISERROR("HHSTATE"),"",HYPERLINK("#INDEX('Frequencies'!A:A,MATCH(A" &amp; ROW() &amp; ",'Frequencies'!A:A,0))","Frequencies"))</f>
        <v>Frequencies</v>
      </c>
      <c r="G142" s="2">
        <v>57</v>
      </c>
      <c r="H142" s="2"/>
      <c r="I142" s="2"/>
      <c r="J142" s="2"/>
      <c r="K142" s="2"/>
      <c r="L142" s="2"/>
    </row>
    <row r="143" spans="1:12" ht="50.1" hidden="1" customHeight="1" x14ac:dyDescent="0.25">
      <c r="A143" s="3" t="s">
        <v>260</v>
      </c>
      <c r="B143" s="2" t="s">
        <v>261</v>
      </c>
      <c r="C143" s="2"/>
      <c r="D143" s="2" t="s">
        <v>15</v>
      </c>
      <c r="E143" s="4" t="str">
        <f>IF(ISERROR("HHSTFIPS"),"",HYPERLINK("#INDEX('Value Lookup'!A:A,MATCH(A" &amp; ROW() &amp; ",'Value Lookup'!A:A,0))","Value Lookup"))</f>
        <v>Value Lookup</v>
      </c>
      <c r="F143" s="4" t="str">
        <f>IF(ISERROR("HHSTFIPS"),"",HYPERLINK("#INDEX('Frequencies'!A:A,MATCH(A" &amp; ROW() &amp; ",'Frequencies'!A:A,0))","Frequencies"))</f>
        <v>Frequencies</v>
      </c>
      <c r="G143" s="2">
        <v>58</v>
      </c>
      <c r="H143" s="2"/>
      <c r="I143" s="2"/>
      <c r="J143" s="2"/>
      <c r="K143" s="2"/>
      <c r="L143" s="2"/>
    </row>
    <row r="144" spans="1:12" ht="50.1" hidden="1" customHeight="1" x14ac:dyDescent="0.25">
      <c r="A144" s="3" t="s">
        <v>419</v>
      </c>
      <c r="B144" s="2" t="s">
        <v>420</v>
      </c>
      <c r="C144" s="2"/>
      <c r="D144" s="2" t="s">
        <v>41</v>
      </c>
      <c r="E144" s="2" t="str">
        <f>IF(ISERROR("NUMADLT"),"","NA")</f>
        <v>NA</v>
      </c>
      <c r="F144" s="4" t="str">
        <f>IF(ISERROR("NUMADLT"),"",HYPERLINK("#INDEX('Frequencies'!A:A,MATCH(A" &amp; ROW() &amp; ",'Frequencies'!A:A,0))","Frequencies"))</f>
        <v>Frequencies</v>
      </c>
      <c r="G144" s="2">
        <v>59</v>
      </c>
      <c r="H144" s="2"/>
      <c r="I144" s="2"/>
      <c r="J144" s="2"/>
      <c r="K144" s="2"/>
      <c r="L144" s="2"/>
    </row>
    <row r="145" spans="1:12" ht="50.1" hidden="1" customHeight="1" x14ac:dyDescent="0.25">
      <c r="A145" s="3" t="s">
        <v>965</v>
      </c>
      <c r="B145" s="2" t="s">
        <v>966</v>
      </c>
      <c r="C145" s="2"/>
      <c r="D145" s="2" t="s">
        <v>41</v>
      </c>
      <c r="E145" s="2" t="str">
        <f>IF(ISERROR("YOUNGCHILD"),"","NA")</f>
        <v>NA</v>
      </c>
      <c r="F145" s="4" t="str">
        <f>IF(ISERROR("YOUNGCHILD"),"",HYPERLINK("#INDEX('Frequencies'!A:A,MATCH(A" &amp; ROW() &amp; ",'Frequencies'!A:A,0))","Frequencies"))</f>
        <v>Frequencies</v>
      </c>
      <c r="G145" s="2">
        <v>60</v>
      </c>
      <c r="H145" s="2"/>
      <c r="I145" s="2"/>
      <c r="J145" s="2"/>
      <c r="K145" s="2"/>
      <c r="L145" s="2"/>
    </row>
    <row r="146" spans="1:12" ht="50.1" hidden="1" customHeight="1" x14ac:dyDescent="0.25">
      <c r="A146" s="3" t="s">
        <v>936</v>
      </c>
      <c r="B146" s="2" t="s">
        <v>937</v>
      </c>
      <c r="C146" s="2"/>
      <c r="D146" s="2" t="s">
        <v>41</v>
      </c>
      <c r="E146" s="2" t="str">
        <f>IF(ISERROR("WRKCOUNT"),"","NA")</f>
        <v>NA</v>
      </c>
      <c r="F146" s="4" t="str">
        <f>IF(ISERROR("WRKCOUNT"),"",HYPERLINK("#INDEX('Frequencies'!A:A,MATCH(A" &amp; ROW() &amp; ",'Frequencies'!A:A,0))","Frequencies"))</f>
        <v>Frequencies</v>
      </c>
      <c r="G146" s="2">
        <v>61</v>
      </c>
      <c r="H146" s="2"/>
      <c r="I146" s="2"/>
      <c r="J146" s="2"/>
      <c r="K146" s="2"/>
      <c r="L146" s="2"/>
    </row>
    <row r="147" spans="1:12" ht="50.1" hidden="1" customHeight="1" x14ac:dyDescent="0.25">
      <c r="A147" s="3" t="s">
        <v>647</v>
      </c>
      <c r="B147" s="2" t="s">
        <v>648</v>
      </c>
      <c r="C147" s="2"/>
      <c r="D147" s="2" t="s">
        <v>15</v>
      </c>
      <c r="E147" s="2" t="str">
        <f>IF(ISERROR("TDAYDATE"),"","NA")</f>
        <v>NA</v>
      </c>
      <c r="F147" s="4" t="str">
        <f>IF(ISERROR("TDAYDATE"),"",HYPERLINK("#INDEX('Frequencies'!A:A,MATCH(A" &amp; ROW() &amp; ",'Frequencies'!A:A,0))","Frequencies"))</f>
        <v>Frequencies</v>
      </c>
      <c r="G147" s="2">
        <v>62</v>
      </c>
      <c r="H147" s="2"/>
      <c r="I147" s="2"/>
      <c r="J147" s="2"/>
      <c r="K147" s="2"/>
      <c r="L147" s="2"/>
    </row>
    <row r="148" spans="1:12" ht="50.1" hidden="1" customHeight="1" x14ac:dyDescent="0.25">
      <c r="A148" s="3" t="s">
        <v>359</v>
      </c>
      <c r="B148" s="2" t="s">
        <v>360</v>
      </c>
      <c r="C148" s="2" t="s">
        <v>361</v>
      </c>
      <c r="D148" s="2" t="s">
        <v>15</v>
      </c>
      <c r="E148" s="2" t="str">
        <f>IF(ISERROR("LOCNAME"),"","NA")</f>
        <v>NA</v>
      </c>
      <c r="F148" s="4" t="str">
        <f>IF(ISERROR("LOCNAME"),"",HYPERLINK("#INDEX('Frequencies'!A:A,MATCH(A" &amp; ROW() &amp; ",'Frequencies'!A:A,0))","Frequencies"))</f>
        <v>Frequencies</v>
      </c>
      <c r="G148" s="2"/>
      <c r="H148" s="2"/>
      <c r="I148" s="2"/>
      <c r="J148" s="2"/>
      <c r="K148" s="2">
        <v>7</v>
      </c>
      <c r="L148" s="2"/>
    </row>
    <row r="149" spans="1:12" ht="50.1" customHeight="1" x14ac:dyDescent="0.25">
      <c r="A149" s="3" t="s">
        <v>794</v>
      </c>
      <c r="B149" s="2" t="s">
        <v>795</v>
      </c>
      <c r="C149" s="2"/>
      <c r="D149" s="2" t="s">
        <v>41</v>
      </c>
      <c r="E149" s="4" t="str">
        <f>IF(ISERROR("TRVLCMIN"),"",HYPERLINK("#INDEX('Value Lookup'!A:A,MATCH(A" &amp; ROW() &amp; ",'Value Lookup'!A:A,0))","Value Lookup"))</f>
        <v>Value Lookup</v>
      </c>
      <c r="F149" s="4" t="str">
        <f>IF(ISERROR("TRVLCMIN"),"",HYPERLINK("#INDEX('Frequencies'!A:A,MATCH(A" &amp; ROW() &amp; ",'Frequencies'!A:A,0))","Frequencies"))</f>
        <v>Frequencies</v>
      </c>
      <c r="G149" s="2"/>
      <c r="H149" s="2"/>
      <c r="I149" s="2"/>
      <c r="J149" s="2">
        <v>16</v>
      </c>
      <c r="K149" s="2"/>
      <c r="L149" s="2"/>
    </row>
    <row r="150" spans="1:12" ht="50.1" hidden="1" customHeight="1" x14ac:dyDescent="0.25">
      <c r="A150" s="3" t="s">
        <v>364</v>
      </c>
      <c r="B150" s="2" t="s">
        <v>365</v>
      </c>
      <c r="C150" s="2"/>
      <c r="D150" s="2" t="s">
        <v>15</v>
      </c>
      <c r="E150" s="4" t="str">
        <f>IF(ISERROR("LOCTYPE"),"",HYPERLINK("#INDEX('Value Lookup'!A:A,MATCH(A" &amp; ROW() &amp; ",'Value Lookup'!A:A,0))","Value Lookup"))</f>
        <v>Value Lookup</v>
      </c>
      <c r="F150" s="4" t="str">
        <f>IF(ISERROR("LOCTYPE"),"",HYPERLINK("#INDEX('Frequencies'!A:A,MATCH(A" &amp; ROW() &amp; ",'Frequencies'!A:A,0))","Frequencies"))</f>
        <v>Frequencies</v>
      </c>
      <c r="G150" s="2"/>
      <c r="H150" s="2"/>
      <c r="I150" s="2"/>
      <c r="J150" s="2"/>
      <c r="K150" s="2">
        <v>4</v>
      </c>
      <c r="L150" s="2"/>
    </row>
    <row r="151" spans="1:12" ht="50.1" hidden="1" customHeight="1" x14ac:dyDescent="0.25">
      <c r="A151" s="3" t="s">
        <v>252</v>
      </c>
      <c r="B151" s="2" t="s">
        <v>253</v>
      </c>
      <c r="C151" s="2" t="s">
        <v>254</v>
      </c>
      <c r="D151" s="2" t="s">
        <v>15</v>
      </c>
      <c r="E151" s="4" t="str">
        <f>IF(ISERROR("HHRESP"),"",HYPERLINK("#INDEX('Value Lookup'!A:A,MATCH(A" &amp; ROW() &amp; ",'Value Lookup'!A:A,0))","Value Lookup"))</f>
        <v>Value Lookup</v>
      </c>
      <c r="F151" s="4" t="str">
        <f>IF(ISERROR("HHRESP"),"",HYPERLINK("#INDEX('Frequencies'!A:A,MATCH(A" &amp; ROW() &amp; ",'Frequencies'!A:A,0))","Frequencies"))</f>
        <v>Frequencies</v>
      </c>
      <c r="G151" s="2">
        <v>63</v>
      </c>
      <c r="H151" s="2"/>
      <c r="I151" s="2"/>
      <c r="J151" s="2"/>
      <c r="K151" s="2"/>
      <c r="L151" s="2"/>
    </row>
    <row r="152" spans="1:12" ht="50.1" hidden="1" customHeight="1" x14ac:dyDescent="0.25">
      <c r="A152" s="3" t="s">
        <v>370</v>
      </c>
      <c r="B152" s="2" t="s">
        <v>371</v>
      </c>
      <c r="C152" s="2"/>
      <c r="D152" s="2" t="s">
        <v>15</v>
      </c>
      <c r="E152" s="2" t="str">
        <f>IF(ISERROR("LONGITUDE"),"","NA")</f>
        <v>NA</v>
      </c>
      <c r="F152" s="4" t="str">
        <f>IF(ISERROR("LONGITUDE"),"",HYPERLINK("#INDEX('Frequencies'!A:A,MATCH(A" &amp; ROW() &amp; ",'Frequencies'!A:A,0))","Frequencies"))</f>
        <v>Frequencies</v>
      </c>
      <c r="G152" s="2"/>
      <c r="H152" s="2"/>
      <c r="I152" s="2"/>
      <c r="J152" s="2"/>
      <c r="K152" s="2">
        <v>5</v>
      </c>
      <c r="L152" s="2"/>
    </row>
    <row r="153" spans="1:12" ht="50.1" customHeight="1" x14ac:dyDescent="0.25">
      <c r="A153" s="3" t="s">
        <v>781</v>
      </c>
      <c r="B153" s="2" t="s">
        <v>782</v>
      </c>
      <c r="C153" s="2"/>
      <c r="D153" s="2" t="s">
        <v>41</v>
      </c>
      <c r="E153" s="2" t="str">
        <f>IF(ISERROR("TRPMILES17"),"","NA")</f>
        <v>NA</v>
      </c>
      <c r="F153" s="4" t="str">
        <f>IF(ISERROR("TRPMILES17"),"",HYPERLINK("#INDEX('Frequencies'!A:A,MATCH(A" &amp; ROW() &amp; ",'Frequencies'!A:A,0))","Frequencies"))</f>
        <v>Frequencies</v>
      </c>
      <c r="G153" s="2"/>
      <c r="H153" s="2"/>
      <c r="I153" s="2"/>
      <c r="J153" s="2">
        <v>17</v>
      </c>
      <c r="K153" s="2"/>
      <c r="L153" s="2"/>
    </row>
    <row r="154" spans="1:12" ht="50.1" hidden="1" customHeight="1" x14ac:dyDescent="0.25">
      <c r="A154" s="3" t="s">
        <v>934</v>
      </c>
      <c r="B154" s="2" t="s">
        <v>935</v>
      </c>
      <c r="C154" s="2"/>
      <c r="D154" s="2" t="s">
        <v>15</v>
      </c>
      <c r="E154" s="4" t="str">
        <f>IF(ISERROR("WRKAMPM"),"",HYPERLINK("#INDEX('Value Lookup'!A:A,MATCH(A" &amp; ROW() &amp; ",'Value Lookup'!A:A,0))","Value Lookup"))</f>
        <v>Value Lookup</v>
      </c>
      <c r="F154" s="4" t="str">
        <f>IF(ISERROR("WRKAMPM"),"",HYPERLINK("#INDEX('Frequencies'!A:A,MATCH(A" &amp; ROW() &amp; ",'Frequencies'!A:A,0))","Frequencies"))</f>
        <v>Frequencies</v>
      </c>
      <c r="G154" s="2"/>
      <c r="H154" s="2">
        <v>57</v>
      </c>
      <c r="I154" s="2"/>
      <c r="J154" s="2"/>
      <c r="K154" s="2"/>
      <c r="L154" s="2"/>
    </row>
    <row r="155" spans="1:12" ht="50.1" hidden="1" customHeight="1" x14ac:dyDescent="0.25">
      <c r="A155" s="3" t="s">
        <v>921</v>
      </c>
      <c r="B155" s="2" t="s">
        <v>922</v>
      </c>
      <c r="C155" s="2" t="s">
        <v>923</v>
      </c>
      <c r="D155" s="2" t="s">
        <v>15</v>
      </c>
      <c r="E155" s="4" t="str">
        <f>IF(ISERROR("WKRMHM"),"",HYPERLINK("#INDEX('Value Lookup'!A:A,MATCH(A" &amp; ROW() &amp; ",'Value Lookup'!A:A,0))","Value Lookup"))</f>
        <v>Value Lookup</v>
      </c>
      <c r="F155" s="4" t="str">
        <f>IF(ISERROR("WKRMHM"),"",HYPERLINK("#INDEX('Frequencies'!A:A,MATCH(A" &amp; ROW() &amp; ",'Frequencies'!A:A,0))","Frequencies"))</f>
        <v>Frequencies</v>
      </c>
      <c r="G155" s="2"/>
      <c r="H155" s="2">
        <v>58</v>
      </c>
      <c r="I155" s="2"/>
      <c r="J155" s="2"/>
      <c r="K155" s="2"/>
      <c r="L155" s="2"/>
    </row>
    <row r="156" spans="1:12" ht="50.1" hidden="1" customHeight="1" x14ac:dyDescent="0.25">
      <c r="A156" s="3" t="s">
        <v>198</v>
      </c>
      <c r="B156" s="2" t="s">
        <v>199</v>
      </c>
      <c r="C156" s="2" t="s">
        <v>200</v>
      </c>
      <c r="D156" s="2" t="s">
        <v>15</v>
      </c>
      <c r="E156" s="4" t="str">
        <f>IF(ISERROR("FUELTYPE_O"),"",HYPERLINK("#INDEX('Value Lookup'!A:A,MATCH(A" &amp; ROW() &amp; ",'Value Lookup'!A:A,0))","Value Lookup"))</f>
        <v>Value Lookup</v>
      </c>
      <c r="F156" s="4" t="str">
        <f>IF(ISERROR("FUELTYPE_O"),"",HYPERLINK("#INDEX('Frequencies'!A:A,MATCH(A" &amp; ROW() &amp; ",'Frequencies'!A:A,0))","Frequencies"))</f>
        <v>Frequencies</v>
      </c>
      <c r="G156" s="2"/>
      <c r="H156" s="2"/>
      <c r="I156" s="2">
        <v>10</v>
      </c>
      <c r="J156" s="2"/>
      <c r="K156" s="2"/>
      <c r="L156" s="2"/>
    </row>
    <row r="157" spans="1:12" ht="50.1" hidden="1" customHeight="1" x14ac:dyDescent="0.25">
      <c r="A157" s="3" t="s">
        <v>829</v>
      </c>
      <c r="B157" s="2" t="s">
        <v>830</v>
      </c>
      <c r="C157" s="2" t="s">
        <v>831</v>
      </c>
      <c r="D157" s="2" t="s">
        <v>15</v>
      </c>
      <c r="E157" s="4" t="str">
        <f>IF(ISERROR("VEHTYPE"),"",HYPERLINK("#INDEX('Value Lookup'!A:A,MATCH(A" &amp; ROW() &amp; ",'Value Lookup'!A:A,0))","Value Lookup"))</f>
        <v>Value Lookup</v>
      </c>
      <c r="F157" s="4" t="str">
        <f>IF(ISERROR("VEHTYPE"),"",HYPERLINK("#INDEX('Frequencies'!A:A,MATCH(A" &amp; ROW() &amp; ",'Frequencies'!A:A,0))","Frequencies"))</f>
        <v>Frequencies</v>
      </c>
      <c r="G157" s="2"/>
      <c r="H157" s="2"/>
      <c r="I157" s="2">
        <v>11</v>
      </c>
      <c r="J157" s="2"/>
      <c r="K157" s="2"/>
      <c r="L157" s="2"/>
    </row>
    <row r="158" spans="1:12" ht="50.1" hidden="1" customHeight="1" x14ac:dyDescent="0.25">
      <c r="A158" s="3" t="s">
        <v>188</v>
      </c>
      <c r="B158" s="2" t="s">
        <v>189</v>
      </c>
      <c r="C158" s="2" t="s">
        <v>190</v>
      </c>
      <c r="D158" s="2" t="s">
        <v>15</v>
      </c>
      <c r="E158" s="4" t="str">
        <f>IF(ISERROR("FLEXTIME"),"",HYPERLINK("#INDEX('Value Lookup'!A:A,MATCH(A" &amp; ROW() &amp; ",'Value Lookup'!A:A,0))","Value Lookup"))</f>
        <v>Value Lookup</v>
      </c>
      <c r="F158" s="4" t="str">
        <f>IF(ISERROR("FLEXTIME"),"",HYPERLINK("#INDEX('Frequencies'!A:A,MATCH(A" &amp; ROW() &amp; ",'Frequencies'!A:A,0))","Frequencies"))</f>
        <v>Frequencies</v>
      </c>
      <c r="G158" s="2"/>
      <c r="H158" s="2">
        <v>59</v>
      </c>
      <c r="I158" s="2"/>
      <c r="J158" s="2"/>
      <c r="K158" s="2"/>
      <c r="L158" s="2"/>
    </row>
    <row r="159" spans="1:12" ht="50.1" hidden="1" customHeight="1" x14ac:dyDescent="0.25">
      <c r="A159" s="3" t="s">
        <v>915</v>
      </c>
      <c r="B159" s="2" t="s">
        <v>916</v>
      </c>
      <c r="C159" s="2" t="s">
        <v>917</v>
      </c>
      <c r="D159" s="2" t="s">
        <v>41</v>
      </c>
      <c r="E159" s="2" t="str">
        <f>IF(ISERROR("WKFMHMXX"),"","Range: 0 - 31")</f>
        <v>Range: 0 - 31</v>
      </c>
      <c r="F159" s="4" t="str">
        <f>IF(ISERROR("WKFMHMXX"),"",HYPERLINK("#INDEX('Frequencies'!A:A,MATCH(A" &amp; ROW() &amp; ",'Frequencies'!A:A,0))","Frequencies"))</f>
        <v>Frequencies</v>
      </c>
      <c r="G159" s="2"/>
      <c r="H159" s="2">
        <v>60</v>
      </c>
      <c r="I159" s="2"/>
      <c r="J159" s="2"/>
      <c r="K159" s="2"/>
      <c r="L159" s="2"/>
    </row>
    <row r="160" spans="1:12" ht="50.1" hidden="1" customHeight="1" x14ac:dyDescent="0.25">
      <c r="A160" s="3" t="s">
        <v>598</v>
      </c>
      <c r="B160" s="2" t="s">
        <v>599</v>
      </c>
      <c r="C160" s="2" t="s">
        <v>600</v>
      </c>
      <c r="D160" s="2" t="s">
        <v>15</v>
      </c>
      <c r="E160" s="4" t="str">
        <f>IF(ISERROR("SCHTRN1"),"",HYPERLINK("#INDEX('Value Lookup'!A:A,MATCH(A" &amp; ROW() &amp; ",'Value Lookup'!A:A,0))","Value Lookup"))</f>
        <v>Value Lookup</v>
      </c>
      <c r="F160" s="4" t="str">
        <f>IF(ISERROR("SCHTRN1"),"",HYPERLINK("#INDEX('Frequencies'!A:A,MATCH(A" &amp; ROW() &amp; ",'Frequencies'!A:A,0))","Frequencies"))</f>
        <v>Frequencies</v>
      </c>
      <c r="G160" s="2"/>
      <c r="H160" s="2">
        <v>61</v>
      </c>
      <c r="I160" s="2"/>
      <c r="J160" s="2"/>
      <c r="K160" s="2"/>
      <c r="L160" s="2"/>
    </row>
    <row r="161" spans="1:12" ht="50.1" hidden="1" customHeight="1" x14ac:dyDescent="0.25">
      <c r="A161" s="3" t="s">
        <v>601</v>
      </c>
      <c r="B161" s="2" t="s">
        <v>602</v>
      </c>
      <c r="C161" s="2" t="s">
        <v>603</v>
      </c>
      <c r="D161" s="2" t="s">
        <v>15</v>
      </c>
      <c r="E161" s="4" t="str">
        <f>IF(ISERROR("SCHTRN1O"),"",HYPERLINK("#INDEX('Value Lookup'!A:A,MATCH(A" &amp; ROW() &amp; ",'Value Lookup'!A:A,0))","Value Lookup"))</f>
        <v>Value Lookup</v>
      </c>
      <c r="F161" s="4" t="str">
        <f>IF(ISERROR("SCHTRN1O"),"",HYPERLINK("#INDEX('Frequencies'!A:A,MATCH(A" &amp; ROW() &amp; ",'Frequencies'!A:A,0))","Frequencies"))</f>
        <v>Frequencies</v>
      </c>
      <c r="G161" s="2"/>
      <c r="H161" s="2">
        <v>62</v>
      </c>
      <c r="I161" s="2"/>
      <c r="J161" s="2"/>
      <c r="K161" s="2"/>
      <c r="L161" s="2"/>
    </row>
    <row r="162" spans="1:12" ht="50.1" hidden="1" customHeight="1" x14ac:dyDescent="0.25">
      <c r="A162" s="3" t="s">
        <v>604</v>
      </c>
      <c r="B162" s="2" t="s">
        <v>605</v>
      </c>
      <c r="C162" s="2" t="s">
        <v>606</v>
      </c>
      <c r="D162" s="2" t="s">
        <v>15</v>
      </c>
      <c r="E162" s="4" t="str">
        <f>IF(ISERROR("SCHTRN2"),"",HYPERLINK("#INDEX('Value Lookup'!A:A,MATCH(A" &amp; ROW() &amp; ",'Value Lookup'!A:A,0))","Value Lookup"))</f>
        <v>Value Lookup</v>
      </c>
      <c r="F162" s="4" t="str">
        <f>IF(ISERROR("SCHTRN2"),"",HYPERLINK("#INDEX('Frequencies'!A:A,MATCH(A" &amp; ROW() &amp; ",'Frequencies'!A:A,0))","Frequencies"))</f>
        <v>Frequencies</v>
      </c>
      <c r="G162" s="2"/>
      <c r="H162" s="2">
        <v>63</v>
      </c>
      <c r="I162" s="2"/>
      <c r="J162" s="2"/>
      <c r="K162" s="2"/>
      <c r="L162" s="2"/>
    </row>
    <row r="163" spans="1:12" ht="50.1" hidden="1" customHeight="1" x14ac:dyDescent="0.25">
      <c r="A163" s="3" t="s">
        <v>826</v>
      </c>
      <c r="B163" s="2" t="s">
        <v>827</v>
      </c>
      <c r="C163" s="2" t="s">
        <v>828</v>
      </c>
      <c r="D163" s="2" t="s">
        <v>15</v>
      </c>
      <c r="E163" s="4" t="str">
        <f>IF(ISERROR("VEHTYOS"),"",HYPERLINK("#INDEX('Value Lookup'!A:A,MATCH(A" &amp; ROW() &amp; ",'Value Lookup'!A:A,0))","Value Lookup"))</f>
        <v>Value Lookup</v>
      </c>
      <c r="F163" s="4" t="str">
        <f>IF(ISERROR("VEHTYOS"),"",HYPERLINK("#INDEX('Frequencies'!A:A,MATCH(A" &amp; ROW() &amp; ",'Frequencies'!A:A,0))","Frequencies"))</f>
        <v>Frequencies</v>
      </c>
      <c r="G163" s="2"/>
      <c r="H163" s="2"/>
      <c r="I163" s="2">
        <v>12</v>
      </c>
      <c r="J163" s="2"/>
      <c r="K163" s="2"/>
      <c r="L163" s="2"/>
    </row>
    <row r="164" spans="1:12" ht="50.1" hidden="1" customHeight="1" x14ac:dyDescent="0.25">
      <c r="A164" s="3" t="s">
        <v>892</v>
      </c>
      <c r="B164" s="2" t="s">
        <v>893</v>
      </c>
      <c r="C164" s="2" t="s">
        <v>894</v>
      </c>
      <c r="D164" s="2" t="s">
        <v>15</v>
      </c>
      <c r="E164" s="4" t="str">
        <f>IF(ISERROR("WHOMAIN"),"",HYPERLINK("#INDEX('Value Lookup'!A:A,MATCH(A" &amp; ROW() &amp; ",'Value Lookup'!A:A,0))","Value Lookup"))</f>
        <v>Value Lookup</v>
      </c>
      <c r="F164" s="4" t="str">
        <f>IF(ISERROR("WHOMAIN"),"",HYPERLINK("#INDEX('Frequencies'!A:A,MATCH(A" &amp; ROW() &amp; ",'Frequencies'!A:A,0))","Frequencies"))</f>
        <v>Frequencies</v>
      </c>
      <c r="G164" s="2"/>
      <c r="H164" s="2"/>
      <c r="I164" s="2">
        <v>13</v>
      </c>
      <c r="J164" s="2"/>
      <c r="K164" s="2"/>
      <c r="L164" s="2"/>
    </row>
    <row r="165" spans="1:12" ht="50.1" hidden="1" customHeight="1" x14ac:dyDescent="0.25">
      <c r="A165" s="3" t="s">
        <v>357</v>
      </c>
      <c r="B165" s="2" t="s">
        <v>358</v>
      </c>
      <c r="C165" s="2"/>
      <c r="D165" s="2" t="s">
        <v>15</v>
      </c>
      <c r="E165" s="4" t="str">
        <f>IF(ISERROR("LIF_CYC"),"",HYPERLINK("#INDEX('Value Lookup'!A:A,MATCH(A" &amp; ROW() &amp; ",'Value Lookup'!A:A,0))","Value Lookup"))</f>
        <v>Value Lookup</v>
      </c>
      <c r="F165" s="4" t="str">
        <f>IF(ISERROR("LIF_CYC"),"",HYPERLINK("#INDEX('Frequencies'!A:A,MATCH(A" &amp; ROW() &amp; ",'Frequencies'!A:A,0))","Frequencies"))</f>
        <v>Frequencies</v>
      </c>
      <c r="G165" s="2">
        <v>64</v>
      </c>
      <c r="H165" s="2"/>
      <c r="I165" s="2"/>
      <c r="J165" s="2"/>
      <c r="K165" s="2"/>
      <c r="L165" s="2"/>
    </row>
    <row r="166" spans="1:12" ht="50.1" hidden="1" customHeight="1" x14ac:dyDescent="0.25">
      <c r="A166" s="3" t="s">
        <v>407</v>
      </c>
      <c r="B166" s="2" t="s">
        <v>408</v>
      </c>
      <c r="C166" s="2"/>
      <c r="D166" s="2" t="s">
        <v>15</v>
      </c>
      <c r="E166" s="4" t="str">
        <f>IF(ISERROR("MSACAT"),"",HYPERLINK("#INDEX('Value Lookup'!A:A,MATCH(A" &amp; ROW() &amp; ",'Value Lookup'!A:A,0))","Value Lookup"))</f>
        <v>Value Lookup</v>
      </c>
      <c r="F166" s="4" t="str">
        <f>IF(ISERROR("MSACAT"),"",HYPERLINK("#INDEX('Frequencies'!A:A,MATCH(A" &amp; ROW() &amp; ",'Frequencies'!A:A,0))","Frequencies"))</f>
        <v>Frequencies</v>
      </c>
      <c r="G166" s="2">
        <v>65</v>
      </c>
      <c r="H166" s="2"/>
      <c r="I166" s="2"/>
      <c r="J166" s="2"/>
      <c r="K166" s="2"/>
      <c r="L166" s="2"/>
    </row>
    <row r="167" spans="1:12" ht="50.1" hidden="1" customHeight="1" x14ac:dyDescent="0.25">
      <c r="A167" s="3" t="s">
        <v>607</v>
      </c>
      <c r="B167" s="2" t="s">
        <v>608</v>
      </c>
      <c r="C167" s="2" t="s">
        <v>609</v>
      </c>
      <c r="D167" s="2" t="s">
        <v>15</v>
      </c>
      <c r="E167" s="4" t="str">
        <f>IF(ISERROR("SCHTRN2O"),"",HYPERLINK("#INDEX('Value Lookup'!A:A,MATCH(A" &amp; ROW() &amp; ",'Value Lookup'!A:A,0))","Value Lookup"))</f>
        <v>Value Lookup</v>
      </c>
      <c r="F167" s="4" t="str">
        <f>IF(ISERROR("SCHTRN2O"),"",HYPERLINK("#INDEX('Frequencies'!A:A,MATCH(A" &amp; ROW() &amp; ",'Frequencies'!A:A,0))","Frequencies"))</f>
        <v>Frequencies</v>
      </c>
      <c r="G167" s="2"/>
      <c r="H167" s="2">
        <v>64</v>
      </c>
      <c r="I167" s="2"/>
      <c r="J167" s="2"/>
      <c r="K167" s="2"/>
      <c r="L167" s="2"/>
    </row>
    <row r="168" spans="1:12" ht="50.1" hidden="1" customHeight="1" x14ac:dyDescent="0.25">
      <c r="A168" s="3" t="s">
        <v>140</v>
      </c>
      <c r="B168" s="2" t="s">
        <v>141</v>
      </c>
      <c r="C168" s="2" t="s">
        <v>142</v>
      </c>
      <c r="D168" s="2" t="s">
        <v>15</v>
      </c>
      <c r="E168" s="4" t="str">
        <f>IF(ISERROR("DIARYCMP"),"",HYPERLINK("#INDEX('Value Lookup'!A:A,MATCH(A" &amp; ROW() &amp; ",'Value Lookup'!A:A,0))","Value Lookup"))</f>
        <v>Value Lookup</v>
      </c>
      <c r="F168" s="4" t="str">
        <f>IF(ISERROR("DIARYCMP"),"",HYPERLINK("#INDEX('Frequencies'!A:A,MATCH(A" &amp; ROW() &amp; ",'Frequencies'!A:A,0))","Frequencies"))</f>
        <v>Frequencies</v>
      </c>
      <c r="G168" s="2"/>
      <c r="H168" s="2">
        <v>65</v>
      </c>
      <c r="I168" s="2"/>
      <c r="J168" s="2"/>
      <c r="K168" s="2"/>
      <c r="L168" s="2"/>
    </row>
    <row r="169" spans="1:12" ht="50.1" customHeight="1" x14ac:dyDescent="0.25">
      <c r="A169" s="3" t="s">
        <v>779</v>
      </c>
      <c r="B169" s="2" t="s">
        <v>780</v>
      </c>
      <c r="C169" s="2"/>
      <c r="D169" s="2" t="s">
        <v>41</v>
      </c>
      <c r="E169" s="4" t="str">
        <f>IF(ISERROR("TRPMILES"),"",HYPERLINK("#INDEX('Value Lookup'!A:A,MATCH(A" &amp; ROW() &amp; ",'Value Lookup'!A:A,0))","Value Lookup"))</f>
        <v>Value Lookup</v>
      </c>
      <c r="F169" s="4" t="str">
        <f>IF(ISERROR("TRPMILES"),"",HYPERLINK("#INDEX('Frequencies'!A:A,MATCH(A" &amp; ROW() &amp; ",'Frequencies'!A:A,0))","Frequencies"))</f>
        <v>Frequencies</v>
      </c>
      <c r="G169" s="2"/>
      <c r="H169" s="2"/>
      <c r="I169" s="2"/>
      <c r="J169" s="2">
        <v>18</v>
      </c>
      <c r="K169" s="2"/>
      <c r="L169" s="2"/>
    </row>
    <row r="170" spans="1:12" ht="50.1" hidden="1" customHeight="1" x14ac:dyDescent="0.25">
      <c r="A170" s="3" t="s">
        <v>409</v>
      </c>
      <c r="B170" s="2" t="s">
        <v>410</v>
      </c>
      <c r="C170" s="2"/>
      <c r="D170" s="2" t="s">
        <v>15</v>
      </c>
      <c r="E170" s="4" t="str">
        <f>IF(ISERROR("MSASIZE"),"",HYPERLINK("#INDEX('Value Lookup'!A:A,MATCH(A" &amp; ROW() &amp; ",'Value Lookup'!A:A,0))","Value Lookup"))</f>
        <v>Value Lookup</v>
      </c>
      <c r="F170" s="4" t="str">
        <f>IF(ISERROR("MSASIZE"),"",HYPERLINK("#INDEX('Frequencies'!A:A,MATCH(A" &amp; ROW() &amp; ",'Frequencies'!A:A,0))","Frequencies"))</f>
        <v>Frequencies</v>
      </c>
      <c r="G170" s="2">
        <v>66</v>
      </c>
      <c r="H170" s="2"/>
      <c r="I170" s="2"/>
      <c r="J170" s="2"/>
      <c r="K170" s="2"/>
      <c r="L170" s="2"/>
    </row>
    <row r="171" spans="1:12" ht="50.1" customHeight="1" x14ac:dyDescent="0.25">
      <c r="A171" s="3" t="s">
        <v>910</v>
      </c>
      <c r="B171" s="2" t="s">
        <v>911</v>
      </c>
      <c r="C171" s="2" t="s">
        <v>912</v>
      </c>
      <c r="D171" s="2" t="s">
        <v>15</v>
      </c>
      <c r="E171" s="4" t="str">
        <f>IF(ISERROR("WKBK_DIST"),"",HYPERLINK("#INDEX('Value Lookup'!A:A,MATCH(A" &amp; ROW() &amp; ",'Value Lookup'!A:A,0))","Value Lookup"))</f>
        <v>Value Lookup</v>
      </c>
      <c r="F171" s="4" t="str">
        <f>IF(ISERROR("WKBK_DIST"),"",HYPERLINK("#INDEX('Frequencies'!A:A,MATCH(A" &amp; ROW() &amp; ",'Frequencies'!A:A,0))","Frequencies"))</f>
        <v>Frequencies</v>
      </c>
      <c r="G171" s="2"/>
      <c r="H171" s="2"/>
      <c r="I171" s="2"/>
      <c r="J171" s="2">
        <v>19</v>
      </c>
      <c r="K171" s="2"/>
      <c r="L171" s="2"/>
    </row>
    <row r="172" spans="1:12" ht="50.1" customHeight="1" x14ac:dyDescent="0.25">
      <c r="A172" s="3" t="s">
        <v>913</v>
      </c>
      <c r="B172" s="2" t="s">
        <v>914</v>
      </c>
      <c r="C172" s="2" t="s">
        <v>361</v>
      </c>
      <c r="D172" s="2" t="s">
        <v>15</v>
      </c>
      <c r="E172" s="4" t="str">
        <f>IF(ISERROR("WKBK_UNIT"),"",HYPERLINK("#INDEX('Value Lookup'!A:A,MATCH(A" &amp; ROW() &amp; ",'Value Lookup'!A:A,0))","Value Lookup"))</f>
        <v>Value Lookup</v>
      </c>
      <c r="F172" s="4" t="str">
        <f>IF(ISERROR("WKBK_UNIT"),"",HYPERLINK("#INDEX('Frequencies'!A:A,MATCH(A" &amp; ROW() &amp; ",'Frequencies'!A:A,0))","Frequencies"))</f>
        <v>Frequencies</v>
      </c>
      <c r="G172" s="2"/>
      <c r="H172" s="2"/>
      <c r="I172" s="2"/>
      <c r="J172" s="2">
        <v>20</v>
      </c>
      <c r="K172" s="2"/>
      <c r="L172" s="2"/>
    </row>
    <row r="173" spans="1:12" ht="50.1" hidden="1" customHeight="1" x14ac:dyDescent="0.25">
      <c r="A173" s="3" t="s">
        <v>143</v>
      </c>
      <c r="B173" s="2" t="s">
        <v>144</v>
      </c>
      <c r="C173" s="2" t="s">
        <v>145</v>
      </c>
      <c r="D173" s="2" t="s">
        <v>15</v>
      </c>
      <c r="E173" s="4" t="str">
        <f>IF(ISERROR("DIARYHAV"),"",HYPERLINK("#INDEX('Value Lookup'!A:A,MATCH(A" &amp; ROW() &amp; ",'Value Lookup'!A:A,0))","Value Lookup"))</f>
        <v>Value Lookup</v>
      </c>
      <c r="F173" s="4" t="str">
        <f>IF(ISERROR("DIARYHAV"),"",HYPERLINK("#INDEX('Frequencies'!A:A,MATCH(A" &amp; ROW() &amp; ",'Frequencies'!A:A,0))","Frequencies"))</f>
        <v>Frequencies</v>
      </c>
      <c r="G173" s="2"/>
      <c r="H173" s="2">
        <v>66</v>
      </c>
      <c r="I173" s="2"/>
      <c r="J173" s="2"/>
      <c r="K173" s="2"/>
      <c r="L173" s="2"/>
    </row>
    <row r="174" spans="1:12" ht="50.1" hidden="1" customHeight="1" x14ac:dyDescent="0.25">
      <c r="A174" s="3" t="s">
        <v>135</v>
      </c>
      <c r="B174" s="2" t="s">
        <v>136</v>
      </c>
      <c r="C174" s="2" t="s">
        <v>137</v>
      </c>
      <c r="D174" s="2" t="s">
        <v>41</v>
      </c>
      <c r="E174" s="2" t="str">
        <f>IF(ISERROR("DELIVER"),"","Range: 0 - 99")</f>
        <v>Range: 0 - 99</v>
      </c>
      <c r="F174" s="4" t="str">
        <f>IF(ISERROR("DELIVER"),"",HYPERLINK("#INDEX('Frequencies'!A:A,MATCH(A" &amp; ROW() &amp; ",'Frequencies'!A:A,0))","Frequencies"))</f>
        <v>Frequencies</v>
      </c>
      <c r="G174" s="2"/>
      <c r="H174" s="2">
        <v>67</v>
      </c>
      <c r="I174" s="2"/>
      <c r="J174" s="2"/>
      <c r="K174" s="2"/>
      <c r="L174" s="2"/>
    </row>
    <row r="175" spans="1:12" ht="50.1" hidden="1" customHeight="1" x14ac:dyDescent="0.25">
      <c r="A175" s="3" t="s">
        <v>444</v>
      </c>
      <c r="B175" s="2" t="s">
        <v>445</v>
      </c>
      <c r="C175" s="2" t="s">
        <v>446</v>
      </c>
      <c r="D175" s="2" t="s">
        <v>41</v>
      </c>
      <c r="E175" s="2" t="str">
        <f>IF(ISERROR("OD_READ"),"","Range: 0 - 999999")</f>
        <v>Range: 0 - 999999</v>
      </c>
      <c r="F175" s="4" t="str">
        <f>IF(ISERROR("OD_READ"),"",HYPERLINK("#INDEX('Frequencies'!A:A,MATCH(A" &amp; ROW() &amp; ",'Frequencies'!A:A,0))","Frequencies"))</f>
        <v>Frequencies</v>
      </c>
      <c r="G175" s="2"/>
      <c r="H175" s="2"/>
      <c r="I175" s="2">
        <v>14</v>
      </c>
      <c r="J175" s="2"/>
      <c r="K175" s="2"/>
      <c r="L175" s="2"/>
    </row>
    <row r="176" spans="1:12" ht="50.1" hidden="1" customHeight="1" x14ac:dyDescent="0.25">
      <c r="A176" s="3" t="s">
        <v>432</v>
      </c>
      <c r="B176" s="2" t="s">
        <v>433</v>
      </c>
      <c r="C176" s="2" t="s">
        <v>434</v>
      </c>
      <c r="D176" s="2" t="s">
        <v>15</v>
      </c>
      <c r="E176" s="4" t="str">
        <f>IF(ISERROR("OD_DATE"),"",HYPERLINK("#INDEX('Value Lookup'!A:A,MATCH(A" &amp; ROW() &amp; ",'Value Lookup'!A:A,0))","Value Lookup"))</f>
        <v>Value Lookup</v>
      </c>
      <c r="F176" s="4" t="str">
        <f>IF(ISERROR("OD_DATE"),"",HYPERLINK("#INDEX('Frequencies'!A:A,MATCH(A" &amp; ROW() &amp; ",'Frequencies'!A:A,0))","Frequencies"))</f>
        <v>Frequencies</v>
      </c>
      <c r="G176" s="2"/>
      <c r="H176" s="2"/>
      <c r="I176" s="2">
        <v>15</v>
      </c>
      <c r="J176" s="2"/>
      <c r="K176" s="2"/>
      <c r="L176" s="2"/>
    </row>
    <row r="177" spans="1:12" ht="50.1" hidden="1" customHeight="1" x14ac:dyDescent="0.25">
      <c r="A177" s="3" t="s">
        <v>560</v>
      </c>
      <c r="B177" s="2" t="s">
        <v>561</v>
      </c>
      <c r="C177" s="2"/>
      <c r="D177" s="2" t="s">
        <v>15</v>
      </c>
      <c r="E177" s="4" t="str">
        <f>IF(ISERROR("RAIL"),"",HYPERLINK("#INDEX('Value Lookup'!A:A,MATCH(A" &amp; ROW() &amp; ",'Value Lookup'!A:A,0))","Value Lookup"))</f>
        <v>Value Lookup</v>
      </c>
      <c r="F177" s="4" t="str">
        <f>IF(ISERROR("RAIL"),"",HYPERLINK("#INDEX('Frequencies'!A:A,MATCH(A" &amp; ROW() &amp; ",'Frequencies'!A:A,0))","Frequencies"))</f>
        <v>Frequencies</v>
      </c>
      <c r="G177" s="2">
        <v>67</v>
      </c>
      <c r="H177" s="2"/>
      <c r="I177" s="2"/>
      <c r="J177" s="2"/>
      <c r="K177" s="2"/>
      <c r="L177" s="2"/>
    </row>
    <row r="178" spans="1:12" ht="50.1" hidden="1" customHeight="1" x14ac:dyDescent="0.25">
      <c r="A178" s="3" t="s">
        <v>799</v>
      </c>
      <c r="B178" s="2" t="s">
        <v>800</v>
      </c>
      <c r="C178" s="2"/>
      <c r="D178" s="2" t="s">
        <v>15</v>
      </c>
      <c r="E178" s="4" t="str">
        <f>IF(ISERROR("URBAN"),"",HYPERLINK("#INDEX('Value Lookup'!A:A,MATCH(A" &amp; ROW() &amp; ",'Value Lookup'!A:A,0))","Value Lookup"))</f>
        <v>Value Lookup</v>
      </c>
      <c r="F178" s="4" t="str">
        <f>IF(ISERROR("URBAN"),"",HYPERLINK("#INDEX('Frequencies'!A:A,MATCH(A" &amp; ROW() &amp; ",'Frequencies'!A:A,0))","Frequencies"))</f>
        <v>Frequencies</v>
      </c>
      <c r="G178" s="2">
        <v>68</v>
      </c>
      <c r="H178" s="2"/>
      <c r="I178" s="2"/>
      <c r="J178" s="2"/>
      <c r="K178" s="2"/>
      <c r="L178" s="2"/>
    </row>
    <row r="179" spans="1:12" ht="50.1" hidden="1" customHeight="1" x14ac:dyDescent="0.25">
      <c r="A179" s="3" t="s">
        <v>447</v>
      </c>
      <c r="B179" s="2" t="s">
        <v>448</v>
      </c>
      <c r="C179" s="2"/>
      <c r="D179" s="2" t="s">
        <v>41</v>
      </c>
      <c r="E179" s="4" t="str">
        <f>IF(ISERROR("OD_YEAR"),"",HYPERLINK("#INDEX('Value Lookup'!A:A,MATCH(A" &amp; ROW() &amp; ",'Value Lookup'!A:A,0))","Value Lookup"))</f>
        <v>Value Lookup</v>
      </c>
      <c r="F179" s="4" t="str">
        <f>IF(ISERROR("OD_YEAR"),"",HYPERLINK("#INDEX('Frequencies'!A:A,MATCH(A" &amp; ROW() &amp; ",'Frequencies'!A:A,0))","Frequencies"))</f>
        <v>Frequencies</v>
      </c>
      <c r="G179" s="2"/>
      <c r="H179" s="2"/>
      <c r="I179" s="2">
        <v>16</v>
      </c>
      <c r="J179" s="2"/>
      <c r="K179" s="2"/>
      <c r="L179" s="2"/>
    </row>
    <row r="180" spans="1:12" ht="50.1" hidden="1" customHeight="1" x14ac:dyDescent="0.25">
      <c r="A180" s="3" t="s">
        <v>442</v>
      </c>
      <c r="B180" s="2" t="s">
        <v>443</v>
      </c>
      <c r="C180" s="2"/>
      <c r="D180" s="2" t="s">
        <v>15</v>
      </c>
      <c r="E180" s="4" t="str">
        <f>IF(ISERROR("OD_MONTH"),"",HYPERLINK("#INDEX('Value Lookup'!A:A,MATCH(A" &amp; ROW() &amp; ",'Value Lookup'!A:A,0))","Value Lookup"))</f>
        <v>Value Lookup</v>
      </c>
      <c r="F180" s="4" t="str">
        <f>IF(ISERROR("OD_MONTH"),"",HYPERLINK("#INDEX('Frequencies'!A:A,MATCH(A" &amp; ROW() &amp; ",'Frequencies'!A:A,0))","Frequencies"))</f>
        <v>Frequencies</v>
      </c>
      <c r="G180" s="2"/>
      <c r="H180" s="2"/>
      <c r="I180" s="2">
        <v>17</v>
      </c>
      <c r="J180" s="2"/>
      <c r="K180" s="2"/>
      <c r="L180" s="2"/>
    </row>
    <row r="181" spans="1:12" ht="50.1" hidden="1" customHeight="1" x14ac:dyDescent="0.25">
      <c r="A181" s="3" t="s">
        <v>435</v>
      </c>
      <c r="B181" s="2" t="s">
        <v>436</v>
      </c>
      <c r="C181" s="2"/>
      <c r="D181" s="2" t="s">
        <v>15</v>
      </c>
      <c r="E181" s="4" t="str">
        <f>IF(ISERROR("OD_DAY"),"",HYPERLINK("#INDEX('Value Lookup'!A:A,MATCH(A" &amp; ROW() &amp; ",'Value Lookup'!A:A,0))","Value Lookup"))</f>
        <v>Value Lookup</v>
      </c>
      <c r="F181" s="4" t="str">
        <f>IF(ISERROR("OD_DAY"),"",HYPERLINK("#INDEX('Frequencies'!A:A,MATCH(A" &amp; ROW() &amp; ",'Frequencies'!A:A,0))","Frequencies"))</f>
        <v>Frequencies</v>
      </c>
      <c r="G181" s="2"/>
      <c r="H181" s="2"/>
      <c r="I181" s="2">
        <v>18</v>
      </c>
      <c r="J181" s="2"/>
      <c r="K181" s="2"/>
      <c r="L181" s="2"/>
    </row>
    <row r="182" spans="1:12" ht="50.1" customHeight="1" x14ac:dyDescent="0.25">
      <c r="A182" s="3" t="s">
        <v>783</v>
      </c>
      <c r="B182" s="2" t="s">
        <v>784</v>
      </c>
      <c r="C182" s="2" t="s">
        <v>785</v>
      </c>
      <c r="D182" s="2" t="s">
        <v>15</v>
      </c>
      <c r="E182" s="4" t="str">
        <f>IF(ISERROR("TRPPUB"),"",HYPERLINK("#INDEX('Value Lookup'!A:A,MATCH(A" &amp; ROW() &amp; ",'Value Lookup'!A:A,0))","Value Lookup"))</f>
        <v>Value Lookup</v>
      </c>
      <c r="F182" s="4" t="str">
        <f>IF(ISERROR("TRPPUB"),"",HYPERLINK("#INDEX('Frequencies'!A:A,MATCH(A" &amp; ROW() &amp; ",'Frequencies'!A:A,0))","Frequencies"))</f>
        <v>Frequencies</v>
      </c>
      <c r="G182" s="2"/>
      <c r="H182" s="2"/>
      <c r="I182" s="2"/>
      <c r="J182" s="2">
        <v>21</v>
      </c>
      <c r="K182" s="2"/>
      <c r="L182" s="2"/>
    </row>
    <row r="183" spans="1:12" ht="50.1" customHeight="1" x14ac:dyDescent="0.25">
      <c r="A183" s="3" t="s">
        <v>786</v>
      </c>
      <c r="B183" s="2" t="s">
        <v>787</v>
      </c>
      <c r="C183" s="2"/>
      <c r="D183" s="2" t="s">
        <v>15</v>
      </c>
      <c r="E183" s="4" t="str">
        <f>IF(ISERROR("TRPTRANS"),"",HYPERLINK("#INDEX('Value Lookup'!A:A,MATCH(A" &amp; ROW() &amp; ",'Value Lookup'!A:A,0))","Value Lookup"))</f>
        <v>Value Lookup</v>
      </c>
      <c r="F183" s="4" t="str">
        <f>IF(ISERROR("TRPTRANS"),"",HYPERLINK("#INDEX('Frequencies'!A:A,MATCH(A" &amp; ROW() &amp; ",'Frequencies'!A:A,0))","Frequencies"))</f>
        <v>Frequencies</v>
      </c>
      <c r="G183" s="2"/>
      <c r="H183" s="2"/>
      <c r="I183" s="2"/>
      <c r="J183" s="2">
        <v>22</v>
      </c>
      <c r="K183" s="2"/>
      <c r="L183" s="2"/>
    </row>
    <row r="184" spans="1:12" ht="50.1" customHeight="1" x14ac:dyDescent="0.25">
      <c r="A184" s="3" t="s">
        <v>788</v>
      </c>
      <c r="B184" s="2" t="s">
        <v>789</v>
      </c>
      <c r="C184" s="2" t="s">
        <v>790</v>
      </c>
      <c r="D184" s="2" t="s">
        <v>15</v>
      </c>
      <c r="E184" s="4" t="str">
        <f>IF(ISERROR("TRPTRANS17"),"",HYPERLINK("#INDEX('Value Lookup'!A:A,MATCH(A" &amp; ROW() &amp; ",'Value Lookup'!A:A,0))","Value Lookup"))</f>
        <v>Value Lookup</v>
      </c>
      <c r="F184" s="4" t="str">
        <f>IF(ISERROR("TRPTRANS17"),"",HYPERLINK("#INDEX('Frequencies'!A:A,MATCH(A" &amp; ROW() &amp; ",'Frequencies'!A:A,0))","Frequencies"))</f>
        <v>Frequencies</v>
      </c>
      <c r="G184" s="2"/>
      <c r="H184" s="2"/>
      <c r="I184" s="2"/>
      <c r="J184" s="2">
        <v>23</v>
      </c>
      <c r="K184" s="2"/>
      <c r="L184" s="2"/>
    </row>
    <row r="185" spans="1:12" ht="50.1" customHeight="1" x14ac:dyDescent="0.25">
      <c r="A185" s="3" t="s">
        <v>791</v>
      </c>
      <c r="B185" s="2" t="s">
        <v>792</v>
      </c>
      <c r="C185" s="2" t="s">
        <v>793</v>
      </c>
      <c r="D185" s="2" t="s">
        <v>15</v>
      </c>
      <c r="E185" s="4" t="str">
        <f>IF(ISERROR("TRPTRNOS"),"",HYPERLINK("#INDEX('Value Lookup'!A:A,MATCH(A" &amp; ROW() &amp; ",'Value Lookup'!A:A,0))","Value Lookup"))</f>
        <v>Value Lookup</v>
      </c>
      <c r="F185" s="4" t="str">
        <f>IF(ISERROR("TRPTRNOS"),"",HYPERLINK("#INDEX('Frequencies'!A:A,MATCH(A" &amp; ROW() &amp; ",'Frequencies'!A:A,0))","Frequencies"))</f>
        <v>Frequencies</v>
      </c>
      <c r="G185" s="2"/>
      <c r="H185" s="2"/>
      <c r="I185" s="2"/>
      <c r="J185" s="2">
        <v>24</v>
      </c>
      <c r="K185" s="2"/>
      <c r="L185" s="2"/>
    </row>
    <row r="186" spans="1:12" ht="50.1" customHeight="1" x14ac:dyDescent="0.25">
      <c r="A186" s="3" t="s">
        <v>773</v>
      </c>
      <c r="B186" s="2" t="s">
        <v>774</v>
      </c>
      <c r="C186" s="2" t="s">
        <v>361</v>
      </c>
      <c r="D186" s="2" t="s">
        <v>15</v>
      </c>
      <c r="E186" s="4" t="str">
        <f>IF(ISERROR("TRPACCMP"),"",HYPERLINK("#INDEX('Value Lookup'!A:A,MATCH(A" &amp; ROW() &amp; ",'Value Lookup'!A:A,0))","Value Lookup"))</f>
        <v>Value Lookup</v>
      </c>
      <c r="F186" s="4" t="str">
        <f>IF(ISERROR("TRPACCMP"),"",HYPERLINK("#INDEX('Frequencies'!A:A,MATCH(A" &amp; ROW() &amp; ",'Frequencies'!A:A,0))","Frequencies"))</f>
        <v>Frequencies</v>
      </c>
      <c r="G186" s="2"/>
      <c r="H186" s="2"/>
      <c r="I186" s="2"/>
      <c r="J186" s="2">
        <v>25</v>
      </c>
      <c r="K186" s="2"/>
      <c r="L186" s="2"/>
    </row>
    <row r="187" spans="1:12" ht="50.1" customHeight="1" x14ac:dyDescent="0.25">
      <c r="A187" s="3" t="s">
        <v>775</v>
      </c>
      <c r="B187" s="2" t="s">
        <v>776</v>
      </c>
      <c r="C187" s="2" t="s">
        <v>361</v>
      </c>
      <c r="D187" s="2" t="s">
        <v>15</v>
      </c>
      <c r="E187" s="4" t="str">
        <f>IF(ISERROR("TRPHHACC"),"",HYPERLINK("#INDEX('Value Lookup'!A:A,MATCH(A" &amp; ROW() &amp; ",'Value Lookup'!A:A,0))","Value Lookup"))</f>
        <v>Value Lookup</v>
      </c>
      <c r="F187" s="4" t="str">
        <f>IF(ISERROR("TRPHHACC"),"",HYPERLINK("#INDEX('Frequencies'!A:A,MATCH(A" &amp; ROW() &amp; ",'Frequencies'!A:A,0))","Frequencies"))</f>
        <v>Frequencies</v>
      </c>
      <c r="G187" s="2"/>
      <c r="H187" s="2"/>
      <c r="I187" s="2"/>
      <c r="J187" s="2">
        <v>26</v>
      </c>
      <c r="K187" s="2"/>
      <c r="L187" s="2"/>
    </row>
    <row r="188" spans="1:12" ht="50.1" customHeight="1" x14ac:dyDescent="0.25">
      <c r="A188" s="3" t="s">
        <v>812</v>
      </c>
      <c r="B188" s="2" t="s">
        <v>813</v>
      </c>
      <c r="C188" s="2" t="s">
        <v>814</v>
      </c>
      <c r="D188" s="2" t="s">
        <v>15</v>
      </c>
      <c r="E188" s="4" t="str">
        <f>IF(ISERROR("VEHID"),"",HYPERLINK("#INDEX('Value Lookup'!A:A,MATCH(A" &amp; ROW() &amp; ",'Value Lookup'!A:A,0))","Value Lookup"))</f>
        <v>Value Lookup</v>
      </c>
      <c r="F188" s="4" t="str">
        <f>IF(ISERROR("VEHID"),"",HYPERLINK("#INDEX('Frequencies'!A:A,MATCH(A" &amp; ROW() &amp; ",'Frequencies'!A:A,0))","Frequencies"))</f>
        <v>Frequencies</v>
      </c>
      <c r="G188" s="2"/>
      <c r="H188" s="2"/>
      <c r="I188" s="2">
        <v>2</v>
      </c>
      <c r="J188" s="2">
        <v>27</v>
      </c>
      <c r="K188" s="2"/>
      <c r="L188" s="2"/>
    </row>
    <row r="189" spans="1:12" ht="50.1" customHeight="1" x14ac:dyDescent="0.25">
      <c r="A189" s="3" t="s">
        <v>796</v>
      </c>
      <c r="B189" s="2" t="s">
        <v>797</v>
      </c>
      <c r="C189" s="2" t="s">
        <v>798</v>
      </c>
      <c r="D189" s="2" t="s">
        <v>41</v>
      </c>
      <c r="E189" s="2" t="str">
        <f>IF(ISERROR("TRWAITTM"),"","Range: 0 - 60")</f>
        <v>Range: 0 - 60</v>
      </c>
      <c r="F189" s="4" t="str">
        <f>IF(ISERROR("TRWAITTM"),"",HYPERLINK("#INDEX('Frequencies'!A:A,MATCH(A" &amp; ROW() &amp; ",'Frequencies'!A:A,0))","Frequencies"))</f>
        <v>Frequencies</v>
      </c>
      <c r="G189" s="2"/>
      <c r="H189" s="2"/>
      <c r="I189" s="2"/>
      <c r="J189" s="2">
        <v>28</v>
      </c>
      <c r="K189" s="2"/>
      <c r="L189" s="2"/>
    </row>
    <row r="190" spans="1:12" ht="50.1" customHeight="1" x14ac:dyDescent="0.25">
      <c r="A190" s="3" t="s">
        <v>423</v>
      </c>
      <c r="B190" s="2" t="s">
        <v>424</v>
      </c>
      <c r="C190" s="2" t="s">
        <v>425</v>
      </c>
      <c r="D190" s="2" t="s">
        <v>41</v>
      </c>
      <c r="E190" s="2" t="str">
        <f>IF(ISERROR("NUMTRANS"),"","Range: 0 - 10")</f>
        <v>Range: 0 - 10</v>
      </c>
      <c r="F190" s="4" t="str">
        <f>IF(ISERROR("NUMTRANS"),"",HYPERLINK("#INDEX('Frequencies'!A:A,MATCH(A" &amp; ROW() &amp; ",'Frequencies'!A:A,0))","Frequencies"))</f>
        <v>Frequencies</v>
      </c>
      <c r="G190" s="2"/>
      <c r="H190" s="2"/>
      <c r="I190" s="2"/>
      <c r="J190" s="2">
        <v>29</v>
      </c>
      <c r="K190" s="2"/>
      <c r="L190" s="2"/>
    </row>
    <row r="191" spans="1:12" ht="50.1" customHeight="1" x14ac:dyDescent="0.25">
      <c r="A191" s="3" t="s">
        <v>709</v>
      </c>
      <c r="B191" s="2" t="s">
        <v>710</v>
      </c>
      <c r="C191" s="2" t="s">
        <v>711</v>
      </c>
      <c r="D191" s="2" t="s">
        <v>41</v>
      </c>
      <c r="E191" s="2" t="str">
        <f>IF(ISERROR("TRACCTM"),"","Range: 0 - 300")</f>
        <v>Range: 0 - 300</v>
      </c>
      <c r="F191" s="4" t="str">
        <f>IF(ISERROR("TRACCTM"),"",HYPERLINK("#INDEX('Frequencies'!A:A,MATCH(A" &amp; ROW() &amp; ",'Frequencies'!A:A,0))","Frequencies"))</f>
        <v>Frequencies</v>
      </c>
      <c r="G191" s="2"/>
      <c r="H191" s="2"/>
      <c r="I191" s="2"/>
      <c r="J191" s="2">
        <v>30</v>
      </c>
      <c r="K191" s="2"/>
      <c r="L191" s="2"/>
    </row>
    <row r="192" spans="1:12" ht="50.1" customHeight="1" x14ac:dyDescent="0.25">
      <c r="A192" s="3" t="s">
        <v>154</v>
      </c>
      <c r="B192" s="2" t="s">
        <v>155</v>
      </c>
      <c r="C192" s="2" t="s">
        <v>156</v>
      </c>
      <c r="D192" s="2" t="s">
        <v>15</v>
      </c>
      <c r="E192" s="4" t="str">
        <f>IF(ISERROR("DROP_PRK"),"",HYPERLINK("#INDEX('Value Lookup'!A:A,MATCH(A" &amp; ROW() &amp; ",'Value Lookup'!A:A,0))","Value Lookup"))</f>
        <v>Value Lookup</v>
      </c>
      <c r="F192" s="4" t="str">
        <f>IF(ISERROR("DROP_PRK"),"",HYPERLINK("#INDEX('Frequencies'!A:A,MATCH(A" &amp; ROW() &amp; ",'Frequencies'!A:A,0))","Frequencies"))</f>
        <v>Frequencies</v>
      </c>
      <c r="G192" s="2"/>
      <c r="H192" s="2"/>
      <c r="I192" s="2"/>
      <c r="J192" s="2">
        <v>31</v>
      </c>
      <c r="K192" s="2"/>
      <c r="L192" s="2"/>
    </row>
    <row r="193" spans="1:12" ht="50.1" customHeight="1" x14ac:dyDescent="0.25">
      <c r="A193" s="3" t="s">
        <v>766</v>
      </c>
      <c r="B193" s="2" t="s">
        <v>767</v>
      </c>
      <c r="C193" s="2" t="s">
        <v>768</v>
      </c>
      <c r="D193" s="2" t="s">
        <v>41</v>
      </c>
      <c r="E193" s="2" t="str">
        <f>IF(ISERROR("TREGRTM"),"","Range: 0 - 180")</f>
        <v>Range: 0 - 180</v>
      </c>
      <c r="F193" s="4" t="str">
        <f>IF(ISERROR("TREGRTM"),"",HYPERLINK("#INDEX('Frequencies'!A:A,MATCH(A" &amp; ROW() &amp; ",'Frequencies'!A:A,0))","Frequencies"))</f>
        <v>Frequencies</v>
      </c>
      <c r="G193" s="2"/>
      <c r="H193" s="2"/>
      <c r="I193" s="2"/>
      <c r="J193" s="2">
        <v>32</v>
      </c>
      <c r="K193" s="2"/>
      <c r="L193" s="2"/>
    </row>
    <row r="194" spans="1:12" ht="50.1" customHeight="1" x14ac:dyDescent="0.25">
      <c r="A194" s="3" t="s">
        <v>889</v>
      </c>
      <c r="B194" s="2" t="s">
        <v>890</v>
      </c>
      <c r="C194" s="2" t="s">
        <v>891</v>
      </c>
      <c r="D194" s="2" t="s">
        <v>15</v>
      </c>
      <c r="E194" s="4" t="str">
        <f>IF(ISERROR("WHODROVE"),"",HYPERLINK("#INDEX('Value Lookup'!A:A,MATCH(A" &amp; ROW() &amp; ",'Value Lookup'!A:A,0))","Value Lookup"))</f>
        <v>Value Lookup</v>
      </c>
      <c r="F194" s="4" t="str">
        <f>IF(ISERROR("WHODROVE"),"",HYPERLINK("#INDEX('Frequencies'!A:A,MATCH(A" &amp; ROW() &amp; ",'Frequencies'!A:A,0))","Frequencies"))</f>
        <v>Frequencies</v>
      </c>
      <c r="G194" s="2"/>
      <c r="H194" s="2"/>
      <c r="I194" s="2"/>
      <c r="J194" s="2">
        <v>33</v>
      </c>
      <c r="K194" s="2"/>
      <c r="L194" s="2"/>
    </row>
    <row r="195" spans="1:12" ht="50.1" customHeight="1" x14ac:dyDescent="0.25">
      <c r="A195" s="3" t="s">
        <v>897</v>
      </c>
      <c r="B195" s="2" t="s">
        <v>898</v>
      </c>
      <c r="C195" s="2" t="s">
        <v>899</v>
      </c>
      <c r="D195" s="2" t="s">
        <v>15</v>
      </c>
      <c r="E195" s="4" t="str">
        <f>IF(ISERROR("WHYFROM"),"",HYPERLINK("#INDEX('Value Lookup'!A:A,MATCH(A" &amp; ROW() &amp; ",'Value Lookup'!A:A,0))","Value Lookup"))</f>
        <v>Value Lookup</v>
      </c>
      <c r="F195" s="4" t="str">
        <f>IF(ISERROR("WHYFROM"),"",HYPERLINK("#INDEX('Frequencies'!A:A,MATCH(A" &amp; ROW() &amp; ",'Frequencies'!A:A,0))","Frequencies"))</f>
        <v>Frequencies</v>
      </c>
      <c r="G195" s="2"/>
      <c r="H195" s="2"/>
      <c r="I195" s="2"/>
      <c r="J195" s="2">
        <v>34</v>
      </c>
      <c r="K195" s="2"/>
      <c r="L195" s="2"/>
    </row>
    <row r="196" spans="1:12" ht="50.1" customHeight="1" x14ac:dyDescent="0.25">
      <c r="A196" s="3" t="s">
        <v>900</v>
      </c>
      <c r="B196" s="2" t="s">
        <v>901</v>
      </c>
      <c r="C196" s="2" t="s">
        <v>899</v>
      </c>
      <c r="D196" s="2" t="s">
        <v>15</v>
      </c>
      <c r="E196" s="4" t="str">
        <f>IF(ISERROR("WHYFROM_O"),"",HYPERLINK("#INDEX('Value Lookup'!A:A,MATCH(A" &amp; ROW() &amp; ",'Value Lookup'!A:A,0))","Value Lookup"))</f>
        <v>Value Lookup</v>
      </c>
      <c r="F196" s="4" t="str">
        <f>IF(ISERROR("WHYFROM_O"),"",HYPERLINK("#INDEX('Frequencies'!A:A,MATCH(A" &amp; ROW() &amp; ",'Frequencies'!A:A,0))","Frequencies"))</f>
        <v>Frequencies</v>
      </c>
      <c r="G196" s="2"/>
      <c r="H196" s="2"/>
      <c r="I196" s="2"/>
      <c r="J196" s="2">
        <v>35</v>
      </c>
      <c r="K196" s="2"/>
      <c r="L196" s="2"/>
    </row>
    <row r="197" spans="1:12" ht="50.1" customHeight="1" x14ac:dyDescent="0.25">
      <c r="A197" s="3" t="s">
        <v>902</v>
      </c>
      <c r="B197" s="2" t="s">
        <v>903</v>
      </c>
      <c r="C197" s="2" t="s">
        <v>899</v>
      </c>
      <c r="D197" s="2" t="s">
        <v>15</v>
      </c>
      <c r="E197" s="4" t="str">
        <f>IF(ISERROR("WHYTO"),"",HYPERLINK("#INDEX('Value Lookup'!A:A,MATCH(A" &amp; ROW() &amp; ",'Value Lookup'!A:A,0))","Value Lookup"))</f>
        <v>Value Lookup</v>
      </c>
      <c r="F197" s="4" t="str">
        <f>IF(ISERROR("WHYTO"),"",HYPERLINK("#INDEX('Frequencies'!A:A,MATCH(A" &amp; ROW() &amp; ",'Frequencies'!A:A,0))","Frequencies"))</f>
        <v>Frequencies</v>
      </c>
      <c r="G197" s="2"/>
      <c r="H197" s="2"/>
      <c r="I197" s="2"/>
      <c r="J197" s="2">
        <v>36</v>
      </c>
      <c r="K197" s="2"/>
      <c r="L197" s="2"/>
    </row>
    <row r="198" spans="1:12" ht="50.1" hidden="1" customHeight="1" x14ac:dyDescent="0.25">
      <c r="A198" s="3" t="s">
        <v>395</v>
      </c>
      <c r="B198" s="2" t="s">
        <v>396</v>
      </c>
      <c r="C198" s="2" t="s">
        <v>397</v>
      </c>
      <c r="D198" s="2" t="s">
        <v>15</v>
      </c>
      <c r="E198" s="4" t="str">
        <f>IF(ISERROR("MEDCOND"),"",HYPERLINK("#INDEX('Value Lookup'!A:A,MATCH(A" &amp; ROW() &amp; ",'Value Lookup'!A:A,0))","Value Lookup"))</f>
        <v>Value Lookup</v>
      </c>
      <c r="F198" s="4" t="str">
        <f>IF(ISERROR("MEDCOND"),"",HYPERLINK("#INDEX('Frequencies'!A:A,MATCH(A" &amp; ROW() &amp; ",'Frequencies'!A:A,0))","Frequencies"))</f>
        <v>Frequencies</v>
      </c>
      <c r="G198" s="2"/>
      <c r="H198" s="2">
        <v>68</v>
      </c>
      <c r="I198" s="2"/>
      <c r="J198" s="2"/>
      <c r="K198" s="2"/>
      <c r="L198" s="2"/>
    </row>
    <row r="199" spans="1:12" ht="50.1" hidden="1" customHeight="1" x14ac:dyDescent="0.25">
      <c r="A199" s="3" t="s">
        <v>398</v>
      </c>
      <c r="B199" s="2" t="s">
        <v>399</v>
      </c>
      <c r="C199" s="2" t="s">
        <v>400</v>
      </c>
      <c r="D199" s="2" t="s">
        <v>15</v>
      </c>
      <c r="E199" s="4" t="str">
        <f>IF(ISERROR("MEDCOND6"),"",HYPERLINK("#INDEX('Value Lookup'!A:A,MATCH(A" &amp; ROW() &amp; ",'Value Lookup'!A:A,0))","Value Lookup"))</f>
        <v>Value Lookup</v>
      </c>
      <c r="F199" s="4" t="str">
        <f>IF(ISERROR("MEDCOND6"),"",HYPERLINK("#INDEX('Frequencies'!A:A,MATCH(A" &amp; ROW() &amp; ",'Frequencies'!A:A,0))","Frequencies"))</f>
        <v>Frequencies</v>
      </c>
      <c r="G199" s="2"/>
      <c r="H199" s="2">
        <v>69</v>
      </c>
      <c r="I199" s="2"/>
      <c r="J199" s="2"/>
      <c r="K199" s="2"/>
      <c r="L199" s="2"/>
    </row>
    <row r="200" spans="1:12" ht="50.1" hidden="1" customHeight="1" x14ac:dyDescent="0.25">
      <c r="A200" s="3" t="s">
        <v>801</v>
      </c>
      <c r="B200" s="2" t="s">
        <v>802</v>
      </c>
      <c r="C200" s="2"/>
      <c r="D200" s="2" t="s">
        <v>15</v>
      </c>
      <c r="E200" s="4" t="str">
        <f>IF(ISERROR("URBANSIZE"),"",HYPERLINK("#INDEX('Value Lookup'!A:A,MATCH(A" &amp; ROW() &amp; ",'Value Lookup'!A:A,0))","Value Lookup"))</f>
        <v>Value Lookup</v>
      </c>
      <c r="F200" s="4" t="str">
        <f>IF(ISERROR("URBANSIZE"),"",HYPERLINK("#INDEX('Frequencies'!A:A,MATCH(A" &amp; ROW() &amp; ",'Frequencies'!A:A,0))","Frequencies"))</f>
        <v>Frequencies</v>
      </c>
      <c r="G200" s="2">
        <v>69</v>
      </c>
      <c r="H200" s="2"/>
      <c r="I200" s="2"/>
      <c r="J200" s="2"/>
      <c r="K200" s="2"/>
      <c r="L200" s="2"/>
    </row>
    <row r="201" spans="1:12" ht="50.1" hidden="1" customHeight="1" x14ac:dyDescent="0.25">
      <c r="A201" s="3" t="s">
        <v>228</v>
      </c>
      <c r="B201" s="2" t="s">
        <v>229</v>
      </c>
      <c r="C201" s="2" t="s">
        <v>230</v>
      </c>
      <c r="D201" s="2" t="s">
        <v>15</v>
      </c>
      <c r="E201" s="4" t="str">
        <f>IF(ISERROR("HEALTH"),"",HYPERLINK("#INDEX('Value Lookup'!A:A,MATCH(A" &amp; ROW() &amp; ",'Value Lookup'!A:A,0))","Value Lookup"))</f>
        <v>Value Lookup</v>
      </c>
      <c r="F201" s="4" t="str">
        <f>IF(ISERROR("HEALTH"),"",HYPERLINK("#INDEX('Frequencies'!A:A,MATCH(A" &amp; ROW() &amp; ",'Frequencies'!A:A,0))","Frequencies"))</f>
        <v>Frequencies</v>
      </c>
      <c r="G201" s="2"/>
      <c r="H201" s="2">
        <v>70</v>
      </c>
      <c r="I201" s="2"/>
      <c r="J201" s="2"/>
      <c r="K201" s="2"/>
      <c r="L201" s="2"/>
    </row>
    <row r="202" spans="1:12" ht="50.1" hidden="1" customHeight="1" x14ac:dyDescent="0.25">
      <c r="A202" s="3" t="s">
        <v>803</v>
      </c>
      <c r="B202" s="2" t="s">
        <v>804</v>
      </c>
      <c r="C202" s="2"/>
      <c r="D202" s="2" t="s">
        <v>15</v>
      </c>
      <c r="E202" s="4" t="str">
        <f>IF(ISERROR("URBRUR"),"",HYPERLINK("#INDEX('Value Lookup'!A:A,MATCH(A" &amp; ROW() &amp; ",'Value Lookup'!A:A,0))","Value Lookup"))</f>
        <v>Value Lookup</v>
      </c>
      <c r="F202" s="4" t="str">
        <f>IF(ISERROR("URBRUR"),"",HYPERLINK("#INDEX('Frequencies'!A:A,MATCH(A" &amp; ROW() &amp; ",'Frequencies'!A:A,0))","Frequencies"))</f>
        <v>Frequencies</v>
      </c>
      <c r="G202" s="2">
        <v>70</v>
      </c>
      <c r="H202" s="2"/>
      <c r="I202" s="2"/>
      <c r="J202" s="2"/>
      <c r="K202" s="2"/>
      <c r="L202" s="2"/>
    </row>
    <row r="203" spans="1:12" ht="50.1" hidden="1" customHeight="1" x14ac:dyDescent="0.25">
      <c r="A203" s="3" t="s">
        <v>498</v>
      </c>
      <c r="B203" s="2" t="s">
        <v>499</v>
      </c>
      <c r="C203" s="2" t="s">
        <v>500</v>
      </c>
      <c r="D203" s="2" t="s">
        <v>15</v>
      </c>
      <c r="E203" s="4" t="str">
        <f>IF(ISERROR("PHYACT"),"",HYPERLINK("#INDEX('Value Lookup'!A:A,MATCH(A" &amp; ROW() &amp; ",'Value Lookup'!A:A,0))","Value Lookup"))</f>
        <v>Value Lookup</v>
      </c>
      <c r="F203" s="4" t="str">
        <f>IF(ISERROR("PHYACT"),"",HYPERLINK("#INDEX('Frequencies'!A:A,MATCH(A" &amp; ROW() &amp; ",'Frequencies'!A:A,0))","Frequencies"))</f>
        <v>Frequencies</v>
      </c>
      <c r="G203" s="2"/>
      <c r="H203" s="2">
        <v>71</v>
      </c>
      <c r="I203" s="2"/>
      <c r="J203" s="2"/>
      <c r="K203" s="2"/>
      <c r="L203" s="2"/>
    </row>
    <row r="204" spans="1:12" ht="50.1" hidden="1" customHeight="1" x14ac:dyDescent="0.25">
      <c r="A204" s="3" t="s">
        <v>848</v>
      </c>
      <c r="B204" s="2" t="s">
        <v>849</v>
      </c>
      <c r="C204" s="2" t="s">
        <v>850</v>
      </c>
      <c r="D204" s="2" t="s">
        <v>41</v>
      </c>
      <c r="E204" s="2" t="str">
        <f>IF(ISERROR("VPACT"),"","Range: 0 - 21")</f>
        <v>Range: 0 - 21</v>
      </c>
      <c r="F204" s="4" t="str">
        <f>IF(ISERROR("VPACT"),"",HYPERLINK("#INDEX('Frequencies'!A:A,MATCH(A" &amp; ROW() &amp; ",'Frequencies'!A:A,0))","Frequencies"))</f>
        <v>Frequencies</v>
      </c>
      <c r="G204" s="2"/>
      <c r="H204" s="2">
        <v>72</v>
      </c>
      <c r="I204" s="2"/>
      <c r="J204" s="2"/>
      <c r="K204" s="2"/>
      <c r="L204" s="2"/>
    </row>
    <row r="205" spans="1:12" ht="50.1" hidden="1" customHeight="1" x14ac:dyDescent="0.25">
      <c r="A205" s="3" t="s">
        <v>374</v>
      </c>
      <c r="B205" s="2" t="s">
        <v>375</v>
      </c>
      <c r="C205" s="2" t="s">
        <v>376</v>
      </c>
      <c r="D205" s="2" t="s">
        <v>41</v>
      </c>
      <c r="E205" s="2" t="str">
        <f>IF(ISERROR("LPACT"),"","Range: 0 - 21")</f>
        <v>Range: 0 - 21</v>
      </c>
      <c r="F205" s="4" t="str">
        <f>IF(ISERROR("LPACT"),"",HYPERLINK("#INDEX('Frequencies'!A:A,MATCH(A" &amp; ROW() &amp; ",'Frequencies'!A:A,0))","Frequencies"))</f>
        <v>Frequencies</v>
      </c>
      <c r="G205" s="2"/>
      <c r="H205" s="2">
        <v>73</v>
      </c>
      <c r="I205" s="2"/>
      <c r="J205" s="2"/>
      <c r="K205" s="2"/>
      <c r="L205" s="2"/>
    </row>
    <row r="206" spans="1:12" ht="50.1" hidden="1" customHeight="1" x14ac:dyDescent="0.25">
      <c r="A206" s="3" t="s">
        <v>209</v>
      </c>
      <c r="B206" s="2" t="s">
        <v>210</v>
      </c>
      <c r="C206" s="2"/>
      <c r="D206" s="2" t="s">
        <v>41</v>
      </c>
      <c r="E206" s="2" t="str">
        <f>IF(ISERROR("GASPRICE"),"","NA")</f>
        <v>NA</v>
      </c>
      <c r="F206" s="4" t="str">
        <f>IF(ISERROR("GASPRICE"),"",HYPERLINK("#INDEX('Frequencies'!A:A,MATCH(A" &amp; ROW() &amp; ",'Frequencies'!A:A,0))","Frequencies"))</f>
        <v>Frequencies</v>
      </c>
      <c r="G206" s="2">
        <v>71</v>
      </c>
      <c r="H206" s="2"/>
      <c r="I206" s="2"/>
      <c r="J206" s="2"/>
      <c r="K206" s="2"/>
      <c r="L206" s="2"/>
    </row>
    <row r="207" spans="1:12" ht="50.1" hidden="1" customHeight="1" x14ac:dyDescent="0.25">
      <c r="A207" s="3" t="s">
        <v>349</v>
      </c>
      <c r="B207" s="2" t="s">
        <v>350</v>
      </c>
      <c r="C207" s="2"/>
      <c r="D207" s="2" t="s">
        <v>41</v>
      </c>
      <c r="E207" s="4" t="str">
        <f>IF(ISERROR("LD_DIST"),"",HYPERLINK("#INDEX('Value Lookup'!A:A,MATCH(A" &amp; ROW() &amp; ",'Value Lookup'!A:A,0))","Value Lookup"))</f>
        <v>Value Lookup</v>
      </c>
      <c r="F207" s="4" t="str">
        <f>IF(ISERROR("LD_DIST"),"",HYPERLINK("#INDEX('Frequencies'!A:A,MATCH(A" &amp; ROW() &amp; ",'Frequencies'!A:A,0))","Frequencies"))</f>
        <v>Frequencies</v>
      </c>
      <c r="G207" s="2">
        <v>72</v>
      </c>
      <c r="H207" s="2"/>
      <c r="I207" s="2"/>
      <c r="J207" s="2"/>
      <c r="K207" s="2"/>
      <c r="L207" s="2"/>
    </row>
    <row r="208" spans="1:12" ht="50.1" hidden="1" customHeight="1" x14ac:dyDescent="0.25">
      <c r="A208" s="3" t="s">
        <v>79</v>
      </c>
      <c r="B208" s="2" t="s">
        <v>80</v>
      </c>
      <c r="C208" s="2" t="s">
        <v>81</v>
      </c>
      <c r="D208" s="2" t="s">
        <v>15</v>
      </c>
      <c r="E208" s="4" t="str">
        <f>IF(ISERROR("BORNINUS"),"",HYPERLINK("#INDEX('Value Lookup'!A:A,MATCH(A" &amp; ROW() &amp; ",'Value Lookup'!A:A,0))","Value Lookup"))</f>
        <v>Value Lookup</v>
      </c>
      <c r="F208" s="4" t="str">
        <f>IF(ISERROR("BORNINUS"),"",HYPERLINK("#INDEX('Frequencies'!A:A,MATCH(A" &amp; ROW() &amp; ",'Frequencies'!A:A,0))","Frequencies"))</f>
        <v>Frequencies</v>
      </c>
      <c r="G208" s="2"/>
      <c r="H208" s="2">
        <v>74</v>
      </c>
      <c r="I208" s="2"/>
      <c r="J208" s="2"/>
      <c r="K208" s="2"/>
      <c r="L208" s="2"/>
    </row>
    <row r="209" spans="1:12" ht="50.1" hidden="1" customHeight="1" x14ac:dyDescent="0.25">
      <c r="A209" s="3" t="s">
        <v>967</v>
      </c>
      <c r="B209" s="2" t="s">
        <v>968</v>
      </c>
      <c r="C209" s="2" t="s">
        <v>969</v>
      </c>
      <c r="D209" s="2" t="s">
        <v>41</v>
      </c>
      <c r="E209" s="2" t="str">
        <f>IF(ISERROR("YRTOUS"),"","Range: [$WHENTOUSLOWERRANGE:C] - [$WHENTOUSUPPERRANGE:C]")</f>
        <v>Range: [$WHENTOUSLOWERRANGE:C] - [$WHENTOUSUPPERRANGE:C]</v>
      </c>
      <c r="F209" s="4" t="str">
        <f>IF(ISERROR("YRTOUS"),"",HYPERLINK("#INDEX('Frequencies'!A:A,MATCH(A" &amp; ROW() &amp; ",'Frequencies'!A:A,0))","Frequencies"))</f>
        <v>Frequencies</v>
      </c>
      <c r="G209" s="2"/>
      <c r="H209" s="2">
        <v>75</v>
      </c>
      <c r="I209" s="2"/>
      <c r="J209" s="2"/>
      <c r="K209" s="2"/>
      <c r="L209" s="2"/>
    </row>
    <row r="210" spans="1:12" ht="50.1" customHeight="1" x14ac:dyDescent="0.25">
      <c r="A210" s="3" t="s">
        <v>908</v>
      </c>
      <c r="B210" s="2" t="s">
        <v>909</v>
      </c>
      <c r="C210" s="2" t="s">
        <v>899</v>
      </c>
      <c r="D210" s="2" t="s">
        <v>15</v>
      </c>
      <c r="E210" s="4" t="str">
        <f>IF(ISERROR("WHYTRPSP"),"",HYPERLINK("#INDEX('Value Lookup'!A:A,MATCH(A" &amp; ROW() &amp; ",'Value Lookup'!A:A,0))","Value Lookup"))</f>
        <v>Value Lookup</v>
      </c>
      <c r="F210" s="4" t="str">
        <f>IF(ISERROR("WHYTRPSP"),"",HYPERLINK("#INDEX('Frequencies'!A:A,MATCH(A" &amp; ROW() &amp; ",'Frequencies'!A:A,0))","Frequencies"))</f>
        <v>Frequencies</v>
      </c>
      <c r="G210" s="2"/>
      <c r="H210" s="2"/>
      <c r="I210" s="2"/>
      <c r="J210" s="2">
        <v>37</v>
      </c>
      <c r="K210" s="2"/>
      <c r="L210" s="2"/>
    </row>
    <row r="211" spans="1:12" ht="50.1" hidden="1" customHeight="1" x14ac:dyDescent="0.25">
      <c r="A211" s="3" t="s">
        <v>613</v>
      </c>
      <c r="B211" s="2" t="s">
        <v>614</v>
      </c>
      <c r="C211" s="2"/>
      <c r="D211" s="2" t="s">
        <v>15</v>
      </c>
      <c r="E211" s="4" t="str">
        <f>IF(ISERROR("SCRESP"),"",HYPERLINK("#INDEX('Value Lookup'!A:A,MATCH(A" &amp; ROW() &amp; ",'Value Lookup'!A:A,0))","Value Lookup"))</f>
        <v>Value Lookup</v>
      </c>
      <c r="F211" s="4" t="str">
        <f>IF(ISERROR("SCRESP"),"",HYPERLINK("#INDEX('Frequencies'!A:A,MATCH(A" &amp; ROW() &amp; ",'Frequencies'!A:A,0))","Frequencies"))</f>
        <v>Frequencies</v>
      </c>
      <c r="G211" s="2">
        <v>73</v>
      </c>
      <c r="H211" s="2"/>
      <c r="I211" s="2"/>
      <c r="J211" s="2"/>
      <c r="K211" s="2"/>
      <c r="L211" s="2"/>
    </row>
    <row r="212" spans="1:12" ht="50.1" hidden="1" customHeight="1" x14ac:dyDescent="0.25">
      <c r="A212" s="3" t="s">
        <v>970</v>
      </c>
      <c r="B212" s="2" t="s">
        <v>971</v>
      </c>
      <c r="C212" s="2" t="s">
        <v>972</v>
      </c>
      <c r="D212" s="2" t="s">
        <v>15</v>
      </c>
      <c r="E212" s="4" t="str">
        <f>IF(ISERROR("YRTOUS2"),"",HYPERLINK("#INDEX('Value Lookup'!A:A,MATCH(A" &amp; ROW() &amp; ",'Value Lookup'!A:A,0))","Value Lookup"))</f>
        <v>Value Lookup</v>
      </c>
      <c r="F212" s="4" t="str">
        <f>IF(ISERROR("YRTOUS2"),"",HYPERLINK("#INDEX('Frequencies'!A:A,MATCH(A" &amp; ROW() &amp; ",'Frequencies'!A:A,0))","Frequencies"))</f>
        <v>Frequencies</v>
      </c>
      <c r="G212" s="2"/>
      <c r="H212" s="2">
        <v>76</v>
      </c>
      <c r="I212" s="2"/>
      <c r="J212" s="2"/>
      <c r="K212" s="2"/>
      <c r="L212" s="2"/>
    </row>
    <row r="213" spans="1:12" ht="50.1" hidden="1" customHeight="1" x14ac:dyDescent="0.25">
      <c r="A213" s="3" t="s">
        <v>962</v>
      </c>
      <c r="B213" s="2" t="s">
        <v>963</v>
      </c>
      <c r="C213" s="2" t="s">
        <v>964</v>
      </c>
      <c r="D213" s="2" t="s">
        <v>41</v>
      </c>
      <c r="E213" s="2" t="str">
        <f>IF(ISERROR("YEARMILE"),"","Range: 0 - 200000")</f>
        <v>Range: 0 - 200000</v>
      </c>
      <c r="F213" s="4" t="str">
        <f>IF(ISERROR("YEARMILE"),"",HYPERLINK("#INDEX('Frequencies'!A:A,MATCH(A" &amp; ROW() &amp; ",'Frequencies'!A:A,0))","Frequencies"))</f>
        <v>Frequencies</v>
      </c>
      <c r="G213" s="2"/>
      <c r="H213" s="2">
        <v>77</v>
      </c>
      <c r="I213" s="2"/>
      <c r="J213" s="2"/>
      <c r="K213" s="2"/>
      <c r="L213" s="2"/>
    </row>
    <row r="214" spans="1:12" ht="50.1" customHeight="1" x14ac:dyDescent="0.25">
      <c r="A214" s="3" t="s">
        <v>372</v>
      </c>
      <c r="B214" s="2" t="s">
        <v>373</v>
      </c>
      <c r="C214" s="2"/>
      <c r="D214" s="2" t="s">
        <v>15</v>
      </c>
      <c r="E214" s="2" t="str">
        <f>IF(ISERROR("LOOP_TRIP"),"","NA")</f>
        <v>NA</v>
      </c>
      <c r="F214" s="4" t="str">
        <f>IF(ISERROR("LOOP_TRIP"),"",HYPERLINK("#INDEX('Frequencies'!A:A,MATCH(A" &amp; ROW() &amp; ",'Frequencies'!A:A,0))","Frequencies"))</f>
        <v>Frequencies</v>
      </c>
      <c r="G214" s="2"/>
      <c r="H214" s="2"/>
      <c r="I214" s="2"/>
      <c r="J214" s="2">
        <v>38</v>
      </c>
      <c r="K214" s="2"/>
      <c r="L214" s="2"/>
    </row>
    <row r="215" spans="1:12" ht="50.1" hidden="1" customHeight="1" x14ac:dyDescent="0.25">
      <c r="A215" s="3" t="s">
        <v>841</v>
      </c>
      <c r="B215" s="2" t="s">
        <v>842</v>
      </c>
      <c r="C215" s="2" t="s">
        <v>843</v>
      </c>
      <c r="D215" s="2" t="s">
        <v>15</v>
      </c>
      <c r="E215" s="4" t="str">
        <f>IF(ISERROR("VERYRMIL"),"",HYPERLINK("#INDEX('Value Lookup'!A:A,MATCH(A" &amp; ROW() &amp; ",'Value Lookup'!A:A,0))","Value Lookup"))</f>
        <v>Value Lookup</v>
      </c>
      <c r="F215" s="4" t="str">
        <f>IF(ISERROR("VERYRMIL"),"",HYPERLINK("#INDEX('Frequencies'!A:A,MATCH(A" &amp; ROW() &amp; ",'Frequencies'!A:A,0))","Frequencies"))</f>
        <v>Frequencies</v>
      </c>
      <c r="G215" s="2"/>
      <c r="H215" s="2">
        <v>78</v>
      </c>
      <c r="I215" s="2"/>
      <c r="J215" s="2"/>
      <c r="K215" s="2"/>
      <c r="L215" s="2"/>
    </row>
    <row r="216" spans="1:12" ht="50.1" hidden="1" customHeight="1" x14ac:dyDescent="0.25">
      <c r="A216" s="3" t="s">
        <v>960</v>
      </c>
      <c r="B216" s="2" t="s">
        <v>961</v>
      </c>
      <c r="C216" s="2" t="s">
        <v>182</v>
      </c>
      <c r="D216" s="2" t="s">
        <v>15</v>
      </c>
      <c r="E216" s="4" t="str">
        <f>IF(ISERROR("YEARMIL2"),"",HYPERLINK("#INDEX('Value Lookup'!A:A,MATCH(A" &amp; ROW() &amp; ",'Value Lookup'!A:A,0))","Value Lookup"))</f>
        <v>Value Lookup</v>
      </c>
      <c r="F216" s="4" t="str">
        <f>IF(ISERROR("YEARMIL2"),"",HYPERLINK("#INDEX('Frequencies'!A:A,MATCH(A" &amp; ROW() &amp; ",'Frequencies'!A:A,0))","Frequencies"))</f>
        <v>Frequencies</v>
      </c>
      <c r="G216" s="2"/>
      <c r="H216" s="2">
        <v>79</v>
      </c>
      <c r="I216" s="2"/>
      <c r="J216" s="2"/>
      <c r="K216" s="2"/>
      <c r="L216" s="2"/>
    </row>
    <row r="217" spans="1:12" ht="50.1" hidden="1" customHeight="1" x14ac:dyDescent="0.25">
      <c r="A217" s="3" t="s">
        <v>510</v>
      </c>
      <c r="B217" s="2" t="s">
        <v>511</v>
      </c>
      <c r="C217" s="2"/>
      <c r="D217" s="2" t="s">
        <v>15</v>
      </c>
      <c r="E217" s="4" t="str">
        <f>IF(ISERROR("PROXY"),"",HYPERLINK("#INDEX('Value Lookup'!A:A,MATCH(A" &amp; ROW() &amp; ",'Value Lookup'!A:A,0))","Value Lookup"))</f>
        <v>Value Lookup</v>
      </c>
      <c r="F217" s="4" t="str">
        <f>IF(ISERROR("PROXY"),"",HYPERLINK("#INDEX('Frequencies'!A:A,MATCH(A" &amp; ROW() &amp; ",'Frequencies'!A:A,0))","Frequencies"))</f>
        <v>Frequencies</v>
      </c>
      <c r="G217" s="2"/>
      <c r="H217" s="2">
        <v>80</v>
      </c>
      <c r="I217" s="2"/>
      <c r="J217" s="2"/>
      <c r="K217" s="2"/>
      <c r="L217" s="2"/>
    </row>
    <row r="218" spans="1:12" ht="50.1" hidden="1" customHeight="1" x14ac:dyDescent="0.25">
      <c r="A218" s="3" t="s">
        <v>895</v>
      </c>
      <c r="B218" s="2" t="s">
        <v>896</v>
      </c>
      <c r="C218" s="2"/>
      <c r="D218" s="2" t="s">
        <v>15</v>
      </c>
      <c r="E218" s="2" t="str">
        <f>IF(ISERROR("WHOPROXY"),"","NA")</f>
        <v>NA</v>
      </c>
      <c r="F218" s="4" t="str">
        <f>IF(ISERROR("WHOPROXY"),"",HYPERLINK("#INDEX('Frequencies'!A:A,MATCH(A" &amp; ROW() &amp; ",'Frequencies'!A:A,0))","Frequencies"))</f>
        <v>Frequencies</v>
      </c>
      <c r="G218" s="2"/>
      <c r="H218" s="2">
        <v>81</v>
      </c>
      <c r="I218" s="2"/>
      <c r="J218" s="2"/>
      <c r="K218" s="2"/>
      <c r="L218" s="2"/>
    </row>
    <row r="219" spans="1:12" ht="50.1" hidden="1" customHeight="1" x14ac:dyDescent="0.25">
      <c r="A219" s="3" t="s">
        <v>807</v>
      </c>
      <c r="B219" s="2" t="s">
        <v>808</v>
      </c>
      <c r="C219" s="2" t="s">
        <v>809</v>
      </c>
      <c r="D219" s="2" t="s">
        <v>15</v>
      </c>
      <c r="E219" s="4" t="str">
        <f>IF(ISERROR("USEPUBTR17"),"",HYPERLINK("#INDEX('Value Lookup'!A:A,MATCH(A" &amp; ROW() &amp; ",'Value Lookup'!A:A,0))","Value Lookup"))</f>
        <v>Value Lookup</v>
      </c>
      <c r="F219" s="4" t="str">
        <f>IF(ISERROR("USEPUBTR17"),"",HYPERLINK("#INDEX('Frequencies'!A:A,MATCH(A" &amp; ROW() &amp; ",'Frequencies'!A:A,0))","Frequencies"))</f>
        <v>Frequencies</v>
      </c>
      <c r="G219" s="2"/>
      <c r="H219" s="2">
        <v>82</v>
      </c>
      <c r="I219" s="2"/>
      <c r="J219" s="2"/>
      <c r="K219" s="2"/>
      <c r="L219" s="2"/>
    </row>
    <row r="220" spans="1:12" ht="50.1" hidden="1" customHeight="1" x14ac:dyDescent="0.25">
      <c r="A220" s="3" t="s">
        <v>805</v>
      </c>
      <c r="B220" s="2" t="s">
        <v>806</v>
      </c>
      <c r="C220" s="2"/>
      <c r="D220" s="2" t="s">
        <v>15</v>
      </c>
      <c r="E220" s="4" t="str">
        <f>IF(ISERROR("USEPUBTR"),"",HYPERLINK("#INDEX('Value Lookup'!A:A,MATCH(A" &amp; ROW() &amp; ",'Value Lookup'!A:A,0))","Value Lookup"))</f>
        <v>Value Lookup</v>
      </c>
      <c r="F220" s="4" t="str">
        <f>IF(ISERROR("USEPUBTR"),"",HYPERLINK("#INDEX('Frequencies'!A:A,MATCH(A" &amp; ROW() &amp; ",'Frequencies'!A:A,0))","Frequencies"))</f>
        <v>Frequencies</v>
      </c>
      <c r="G220" s="2"/>
      <c r="H220" s="2">
        <v>83</v>
      </c>
      <c r="I220" s="2"/>
      <c r="J220" s="2"/>
      <c r="K220" s="2"/>
      <c r="L220" s="2"/>
    </row>
    <row r="221" spans="1:12" ht="50.1" hidden="1" customHeight="1" x14ac:dyDescent="0.25">
      <c r="A221" s="3" t="s">
        <v>589</v>
      </c>
      <c r="B221" s="2" t="s">
        <v>590</v>
      </c>
      <c r="C221" s="2" t="s">
        <v>591</v>
      </c>
      <c r="D221" s="2" t="s">
        <v>15</v>
      </c>
      <c r="E221" s="4" t="str">
        <f>IF(ISERROR("SAMEPLC"),"",HYPERLINK("#INDEX('Value Lookup'!A:A,MATCH(A" &amp; ROW() &amp; ",'Value Lookup'!A:A,0))","Value Lookup"))</f>
        <v>Value Lookup</v>
      </c>
      <c r="F221" s="4" t="str">
        <f>IF(ISERROR("SAMEPLC"),"",HYPERLINK("#INDEX('Frequencies'!A:A,MATCH(A" &amp; ROW() &amp; ",'Frequencies'!A:A,0))","Frequencies"))</f>
        <v>Frequencies</v>
      </c>
      <c r="G221" s="2"/>
      <c r="H221" s="2">
        <v>84</v>
      </c>
      <c r="I221" s="2"/>
      <c r="J221" s="2"/>
      <c r="K221" s="2"/>
      <c r="L221" s="2"/>
    </row>
    <row r="222" spans="1:12" ht="50.1" hidden="1" customHeight="1" x14ac:dyDescent="0.25">
      <c r="A222" s="3" t="s">
        <v>592</v>
      </c>
      <c r="B222" s="2" t="s">
        <v>593</v>
      </c>
      <c r="C222" s="2" t="s">
        <v>591</v>
      </c>
      <c r="D222" s="2" t="s">
        <v>15</v>
      </c>
      <c r="E222" s="4" t="str">
        <f>IF(ISERROR("SAMEPLC_O"),"",HYPERLINK("#INDEX('Value Lookup'!A:A,MATCH(A" &amp; ROW() &amp; ",'Value Lookup'!A:A,0))","Value Lookup"))</f>
        <v>Value Lookup</v>
      </c>
      <c r="F222" s="4" t="str">
        <f>IF(ISERROR("SAMEPLC_O"),"",HYPERLINK("#INDEX('Frequencies'!A:A,MATCH(A" &amp; ROW() &amp; ",'Frequencies'!A:A,0))","Frequencies"))</f>
        <v>Frequencies</v>
      </c>
      <c r="G222" s="2"/>
      <c r="H222" s="2">
        <v>85</v>
      </c>
      <c r="I222" s="2"/>
      <c r="J222" s="2"/>
      <c r="K222" s="2"/>
      <c r="L222" s="2"/>
    </row>
    <row r="223" spans="1:12" ht="50.1" hidden="1" customHeight="1" x14ac:dyDescent="0.25">
      <c r="A223" s="3" t="s">
        <v>535</v>
      </c>
      <c r="B223" s="2" t="s">
        <v>536</v>
      </c>
      <c r="C223" s="2" t="s">
        <v>537</v>
      </c>
      <c r="D223" s="2" t="s">
        <v>15</v>
      </c>
      <c r="E223" s="4" t="str">
        <f>IF(ISERROR("RACE_1"),"",HYPERLINK("#INDEX('Value Lookup'!A:A,MATCH(A" &amp; ROW() &amp; ",'Value Lookup'!A:A,0))","Value Lookup"))</f>
        <v>Value Lookup</v>
      </c>
      <c r="F223" s="4" t="str">
        <f>IF(ISERROR("RACE_1"),"",HYPERLINK("#INDEX('Frequencies'!A:A,MATCH(A" &amp; ROW() &amp; ",'Frequencies'!A:A,0))","Frequencies"))</f>
        <v>Frequencies</v>
      </c>
      <c r="G223" s="2"/>
      <c r="H223" s="2">
        <v>86</v>
      </c>
      <c r="I223" s="2"/>
      <c r="J223" s="2"/>
      <c r="K223" s="2"/>
      <c r="L223" s="2"/>
    </row>
    <row r="224" spans="1:12" ht="50.1" hidden="1" customHeight="1" x14ac:dyDescent="0.25">
      <c r="A224" s="3" t="s">
        <v>538</v>
      </c>
      <c r="B224" s="2" t="s">
        <v>539</v>
      </c>
      <c r="C224" s="2" t="s">
        <v>537</v>
      </c>
      <c r="D224" s="2" t="s">
        <v>15</v>
      </c>
      <c r="E224" s="4" t="str">
        <f>IF(ISERROR("RACE_2"),"",HYPERLINK("#INDEX('Value Lookup'!A:A,MATCH(A" &amp; ROW() &amp; ",'Value Lookup'!A:A,0))","Value Lookup"))</f>
        <v>Value Lookup</v>
      </c>
      <c r="F224" s="4" t="str">
        <f>IF(ISERROR("RACE_2"),"",HYPERLINK("#INDEX('Frequencies'!A:A,MATCH(A" &amp; ROW() &amp; ",'Frequencies'!A:A,0))","Frequencies"))</f>
        <v>Frequencies</v>
      </c>
      <c r="G224" s="2"/>
      <c r="H224" s="2">
        <v>87</v>
      </c>
      <c r="I224" s="2"/>
      <c r="J224" s="2"/>
      <c r="K224" s="2"/>
      <c r="L224" s="2"/>
    </row>
    <row r="225" spans="1:12" ht="50.1" hidden="1" customHeight="1" x14ac:dyDescent="0.25">
      <c r="A225" s="3" t="s">
        <v>540</v>
      </c>
      <c r="B225" s="2" t="s">
        <v>541</v>
      </c>
      <c r="C225" s="2" t="s">
        <v>537</v>
      </c>
      <c r="D225" s="2" t="s">
        <v>15</v>
      </c>
      <c r="E225" s="4" t="str">
        <f>IF(ISERROR("RACE_3"),"",HYPERLINK("#INDEX('Value Lookup'!A:A,MATCH(A" &amp; ROW() &amp; ",'Value Lookup'!A:A,0))","Value Lookup"))</f>
        <v>Value Lookup</v>
      </c>
      <c r="F225" s="4" t="str">
        <f>IF(ISERROR("RACE_3"),"",HYPERLINK("#INDEX('Frequencies'!A:A,MATCH(A" &amp; ROW() &amp; ",'Frequencies'!A:A,0))","Frequencies"))</f>
        <v>Frequencies</v>
      </c>
      <c r="G225" s="2"/>
      <c r="H225" s="2">
        <v>88</v>
      </c>
      <c r="I225" s="2"/>
      <c r="J225" s="2"/>
      <c r="K225" s="2"/>
      <c r="L225" s="2"/>
    </row>
    <row r="226" spans="1:12" ht="50.1" hidden="1" customHeight="1" x14ac:dyDescent="0.25">
      <c r="A226" s="3" t="s">
        <v>542</v>
      </c>
      <c r="B226" s="2" t="s">
        <v>543</v>
      </c>
      <c r="C226" s="2" t="s">
        <v>537</v>
      </c>
      <c r="D226" s="2" t="s">
        <v>15</v>
      </c>
      <c r="E226" s="4" t="str">
        <f>IF(ISERROR("RACE_4"),"",HYPERLINK("#INDEX('Value Lookup'!A:A,MATCH(A" &amp; ROW() &amp; ",'Value Lookup'!A:A,0))","Value Lookup"))</f>
        <v>Value Lookup</v>
      </c>
      <c r="F226" s="4" t="str">
        <f>IF(ISERROR("RACE_4"),"",HYPERLINK("#INDEX('Frequencies'!A:A,MATCH(A" &amp; ROW() &amp; ",'Frequencies'!A:A,0))","Frequencies"))</f>
        <v>Frequencies</v>
      </c>
      <c r="G226" s="2"/>
      <c r="H226" s="2">
        <v>89</v>
      </c>
      <c r="I226" s="2"/>
      <c r="J226" s="2"/>
      <c r="K226" s="2"/>
      <c r="L226" s="2"/>
    </row>
    <row r="227" spans="1:12" ht="50.1" hidden="1" customHeight="1" x14ac:dyDescent="0.25">
      <c r="A227" s="3" t="s">
        <v>544</v>
      </c>
      <c r="B227" s="2" t="s">
        <v>545</v>
      </c>
      <c r="C227" s="2" t="s">
        <v>537</v>
      </c>
      <c r="D227" s="2" t="s">
        <v>15</v>
      </c>
      <c r="E227" s="4" t="str">
        <f>IF(ISERROR("RACE_5"),"",HYPERLINK("#INDEX('Value Lookup'!A:A,MATCH(A" &amp; ROW() &amp; ",'Value Lookup'!A:A,0))","Value Lookup"))</f>
        <v>Value Lookup</v>
      </c>
      <c r="F227" s="4" t="str">
        <f>IF(ISERROR("RACE_5"),"",HYPERLINK("#INDEX('Frequencies'!A:A,MATCH(A" &amp; ROW() &amp; ",'Frequencies'!A:A,0))","Frequencies"))</f>
        <v>Frequencies</v>
      </c>
      <c r="G227" s="2"/>
      <c r="H227" s="2">
        <v>90</v>
      </c>
      <c r="I227" s="2"/>
      <c r="J227" s="2"/>
      <c r="K227" s="2"/>
      <c r="L227" s="2"/>
    </row>
    <row r="228" spans="1:12" ht="50.1" hidden="1" customHeight="1" x14ac:dyDescent="0.25">
      <c r="A228" s="3" t="s">
        <v>546</v>
      </c>
      <c r="B228" s="2" t="s">
        <v>547</v>
      </c>
      <c r="C228" s="2" t="s">
        <v>537</v>
      </c>
      <c r="D228" s="2" t="s">
        <v>15</v>
      </c>
      <c r="E228" s="4" t="str">
        <f>IF(ISERROR("RACE_DK"),"",HYPERLINK("#INDEX('Value Lookup'!A:A,MATCH(A" &amp; ROW() &amp; ",'Value Lookup'!A:A,0))","Value Lookup"))</f>
        <v>Value Lookup</v>
      </c>
      <c r="F228" s="4" t="str">
        <f>IF(ISERROR("RACE_DK"),"",HYPERLINK("#INDEX('Frequencies'!A:A,MATCH(A" &amp; ROW() &amp; ",'Frequencies'!A:A,0))","Frequencies"))</f>
        <v>Frequencies</v>
      </c>
      <c r="G228" s="2"/>
      <c r="H228" s="2">
        <v>91</v>
      </c>
      <c r="I228" s="2"/>
      <c r="J228" s="2"/>
      <c r="K228" s="2"/>
      <c r="L228" s="2"/>
    </row>
    <row r="229" spans="1:12" ht="50.1" hidden="1" customHeight="1" x14ac:dyDescent="0.25">
      <c r="A229" s="3" t="s">
        <v>551</v>
      </c>
      <c r="B229" s="2" t="s">
        <v>552</v>
      </c>
      <c r="C229" s="2" t="s">
        <v>537</v>
      </c>
      <c r="D229" s="2" t="s">
        <v>15</v>
      </c>
      <c r="E229" s="4" t="str">
        <f>IF(ISERROR("RACE_RF"),"",HYPERLINK("#INDEX('Value Lookup'!A:A,MATCH(A" &amp; ROW() &amp; ",'Value Lookup'!A:A,0))","Value Lookup"))</f>
        <v>Value Lookup</v>
      </c>
      <c r="F229" s="4" t="str">
        <f>IF(ISERROR("RACE_RF"),"",HYPERLINK("#INDEX('Frequencies'!A:A,MATCH(A" &amp; ROW() &amp; ",'Frequencies'!A:A,0))","Frequencies"))</f>
        <v>Frequencies</v>
      </c>
      <c r="G229" s="2"/>
      <c r="H229" s="2">
        <v>92</v>
      </c>
      <c r="I229" s="2"/>
      <c r="J229" s="2"/>
      <c r="K229" s="2"/>
      <c r="L229" s="2"/>
    </row>
    <row r="230" spans="1:12" ht="50.1" hidden="1" customHeight="1" x14ac:dyDescent="0.25">
      <c r="A230" s="3" t="s">
        <v>553</v>
      </c>
      <c r="B230" s="2" t="s">
        <v>554</v>
      </c>
      <c r="C230" s="2" t="s">
        <v>537</v>
      </c>
      <c r="D230" s="2" t="s">
        <v>15</v>
      </c>
      <c r="E230" s="4" t="str">
        <f>IF(ISERROR("RACE_SE"),"",HYPERLINK("#INDEX('Value Lookup'!A:A,MATCH(A" &amp; ROW() &amp; ",'Value Lookup'!A:A,0))","Value Lookup"))</f>
        <v>Value Lookup</v>
      </c>
      <c r="F230" s="4" t="str">
        <f>IF(ISERROR("RACE_SE"),"",HYPERLINK("#INDEX('Frequencies'!A:A,MATCH(A" &amp; ROW() &amp; ",'Frequencies'!A:A,0))","Frequencies"))</f>
        <v>Frequencies</v>
      </c>
      <c r="G230" s="2"/>
      <c r="H230" s="2">
        <v>93</v>
      </c>
      <c r="I230" s="2"/>
      <c r="J230" s="2"/>
      <c r="K230" s="2"/>
      <c r="L230" s="2"/>
    </row>
    <row r="231" spans="1:12" ht="50.1" hidden="1" customHeight="1" x14ac:dyDescent="0.25">
      <c r="A231" s="3" t="s">
        <v>98</v>
      </c>
      <c r="B231" s="2" t="s">
        <v>99</v>
      </c>
      <c r="C231" s="2"/>
      <c r="D231" s="2" t="s">
        <v>15</v>
      </c>
      <c r="E231" s="4" t="str">
        <f>IF(ISERROR("CENSUS_D"),"",HYPERLINK("#INDEX('Value Lookup'!A:A,MATCH(A" &amp; ROW() &amp; ",'Value Lookup'!A:A,0))","Value Lookup"))</f>
        <v>Value Lookup</v>
      </c>
      <c r="F231" s="4" t="str">
        <f>IF(ISERROR("CENSUS_D"),"",HYPERLINK("#INDEX('Frequencies'!A:A,MATCH(A" &amp; ROW() &amp; ",'Frequencies'!A:A,0))","Frequencies"))</f>
        <v>Frequencies</v>
      </c>
      <c r="G231" s="2">
        <v>74</v>
      </c>
      <c r="H231" s="2"/>
      <c r="I231" s="2"/>
      <c r="J231" s="2"/>
      <c r="K231" s="2"/>
      <c r="L231" s="2"/>
    </row>
    <row r="232" spans="1:12" ht="50.1" hidden="1" customHeight="1" x14ac:dyDescent="0.25">
      <c r="A232" s="3" t="s">
        <v>100</v>
      </c>
      <c r="B232" s="2" t="s">
        <v>101</v>
      </c>
      <c r="C232" s="2"/>
      <c r="D232" s="2" t="s">
        <v>15</v>
      </c>
      <c r="E232" s="4" t="str">
        <f>IF(ISERROR("CENSUS_R"),"",HYPERLINK("#INDEX('Value Lookup'!A:A,MATCH(A" &amp; ROW() &amp; ",'Value Lookup'!A:A,0))","Value Lookup"))</f>
        <v>Value Lookup</v>
      </c>
      <c r="F232" s="4" t="str">
        <f>IF(ISERROR("CENSUS_R"),"",HYPERLINK("#INDEX('Frequencies'!A:A,MATCH(A" &amp; ROW() &amp; ",'Frequencies'!A:A,0))","Frequencies"))</f>
        <v>Frequencies</v>
      </c>
      <c r="G232" s="2">
        <v>75</v>
      </c>
      <c r="H232" s="2"/>
      <c r="I232" s="2"/>
      <c r="J232" s="2"/>
      <c r="K232" s="2"/>
      <c r="L232" s="2"/>
    </row>
    <row r="233" spans="1:12" ht="50.1" hidden="1" customHeight="1" x14ac:dyDescent="0.25">
      <c r="A233" s="3" t="s">
        <v>96</v>
      </c>
      <c r="B233" s="2" t="s">
        <v>97</v>
      </c>
      <c r="C233" s="2"/>
      <c r="D233" s="2" t="s">
        <v>15</v>
      </c>
      <c r="E233" s="4" t="str">
        <f>IF(ISERROR("CDIVMSAR"),"",HYPERLINK("#INDEX('Value Lookup'!A:A,MATCH(A" &amp; ROW() &amp; ",'Value Lookup'!A:A,0))","Value Lookup"))</f>
        <v>Value Lookup</v>
      </c>
      <c r="F233" s="4" t="str">
        <f>IF(ISERROR("CDIVMSAR"),"",HYPERLINK("#INDEX('Frequencies'!A:A,MATCH(A" &amp; ROW() &amp; ",'Frequencies'!A:A,0))","Frequencies"))</f>
        <v>Frequencies</v>
      </c>
      <c r="G233" s="2">
        <v>76</v>
      </c>
      <c r="H233" s="2"/>
      <c r="I233" s="2"/>
      <c r="J233" s="2"/>
      <c r="K233" s="2"/>
      <c r="L233" s="2"/>
    </row>
    <row r="234" spans="1:12" ht="50.1" hidden="1" customHeight="1" x14ac:dyDescent="0.25">
      <c r="A234" s="3" t="s">
        <v>248</v>
      </c>
      <c r="B234" s="2" t="s">
        <v>249</v>
      </c>
      <c r="C234" s="2"/>
      <c r="D234" s="2" t="s">
        <v>15</v>
      </c>
      <c r="E234" s="4" t="str">
        <f>IF(ISERROR("HH_RACE"),"",HYPERLINK("#INDEX('Value Lookup'!A:A,MATCH(A" &amp; ROW() &amp; ",'Value Lookup'!A:A,0))","Value Lookup"))</f>
        <v>Value Lookup</v>
      </c>
      <c r="F234" s="4" t="str">
        <f>IF(ISERROR("HH_RACE"),"",HYPERLINK("#INDEX('Frequencies'!A:A,MATCH(A" &amp; ROW() &amp; ",'Frequencies'!A:A,0))","Frequencies"))</f>
        <v>Frequencies</v>
      </c>
      <c r="G234" s="2">
        <v>77</v>
      </c>
      <c r="H234" s="2"/>
      <c r="I234" s="2"/>
      <c r="J234" s="2"/>
      <c r="K234" s="2"/>
      <c r="L234" s="2"/>
    </row>
    <row r="235" spans="1:12" ht="50.1" hidden="1" customHeight="1" x14ac:dyDescent="0.25">
      <c r="A235" s="3" t="s">
        <v>548</v>
      </c>
      <c r="B235" s="2" t="s">
        <v>549</v>
      </c>
      <c r="C235" s="2" t="s">
        <v>550</v>
      </c>
      <c r="D235" s="2" t="s">
        <v>15</v>
      </c>
      <c r="E235" s="4" t="str">
        <f>IF(ISERROR("RACE_O"),"",HYPERLINK("#INDEX('Value Lookup'!A:A,MATCH(A" &amp; ROW() &amp; ",'Value Lookup'!A:A,0))","Value Lookup"))</f>
        <v>Value Lookup</v>
      </c>
      <c r="F235" s="4" t="str">
        <f>IF(ISERROR("RACE_O"),"",HYPERLINK("#INDEX('Frequencies'!A:A,MATCH(A" &amp; ROW() &amp; ",'Frequencies'!A:A,0))","Frequencies"))</f>
        <v>Frequencies</v>
      </c>
      <c r="G235" s="2"/>
      <c r="H235" s="2">
        <v>94</v>
      </c>
      <c r="I235" s="2"/>
      <c r="J235" s="2"/>
      <c r="K235" s="2"/>
      <c r="L235" s="2"/>
    </row>
    <row r="236" spans="1:12" ht="50.1" hidden="1" customHeight="1" x14ac:dyDescent="0.25">
      <c r="A236" s="3" t="s">
        <v>16</v>
      </c>
      <c r="B236" s="2" t="s">
        <v>17</v>
      </c>
      <c r="C236" s="2" t="s">
        <v>18</v>
      </c>
      <c r="D236" s="2" t="s">
        <v>15</v>
      </c>
      <c r="E236" s="4" t="str">
        <f>IF(ISERROR("ALT_1"),"",HYPERLINK("#INDEX('Value Lookup'!A:A,MATCH(A" &amp; ROW() &amp; ",'Value Lookup'!A:A,0))","Value Lookup"))</f>
        <v>Value Lookup</v>
      </c>
      <c r="F236" s="4" t="str">
        <f>IF(ISERROR("ALT_1"),"",HYPERLINK("#INDEX('Frequencies'!A:A,MATCH(A" &amp; ROW() &amp; ",'Frequencies'!A:A,0))","Frequencies"))</f>
        <v>Frequencies</v>
      </c>
      <c r="G236" s="2"/>
      <c r="H236" s="2">
        <v>95</v>
      </c>
      <c r="I236" s="2"/>
      <c r="J236" s="2"/>
      <c r="K236" s="2"/>
      <c r="L236" s="2"/>
    </row>
    <row r="237" spans="1:12" ht="50.1" hidden="1" customHeight="1" x14ac:dyDescent="0.25">
      <c r="A237" s="3" t="s">
        <v>19</v>
      </c>
      <c r="B237" s="2" t="s">
        <v>20</v>
      </c>
      <c r="C237" s="2" t="s">
        <v>18</v>
      </c>
      <c r="D237" s="2" t="s">
        <v>15</v>
      </c>
      <c r="E237" s="4" t="str">
        <f>IF(ISERROR("ALT_2"),"",HYPERLINK("#INDEX('Value Lookup'!A:A,MATCH(A" &amp; ROW() &amp; ",'Value Lookup'!A:A,0))","Value Lookup"))</f>
        <v>Value Lookup</v>
      </c>
      <c r="F237" s="4" t="str">
        <f>IF(ISERROR("ALT_2"),"",HYPERLINK("#INDEX('Frequencies'!A:A,MATCH(A" &amp; ROW() &amp; ",'Frequencies'!A:A,0))","Frequencies"))</f>
        <v>Frequencies</v>
      </c>
      <c r="G237" s="2"/>
      <c r="H237" s="2">
        <v>96</v>
      </c>
      <c r="I237" s="2"/>
      <c r="J237" s="2"/>
      <c r="K237" s="2"/>
      <c r="L237" s="2"/>
    </row>
    <row r="238" spans="1:12" ht="50.1" hidden="1" customHeight="1" x14ac:dyDescent="0.25">
      <c r="A238" s="3" t="s">
        <v>21</v>
      </c>
      <c r="B238" s="2" t="s">
        <v>22</v>
      </c>
      <c r="C238" s="2" t="s">
        <v>18</v>
      </c>
      <c r="D238" s="2" t="s">
        <v>15</v>
      </c>
      <c r="E238" s="4" t="str">
        <f>IF(ISERROR("ALT_3"),"",HYPERLINK("#INDEX('Value Lookup'!A:A,MATCH(A" &amp; ROW() &amp; ",'Value Lookup'!A:A,0))","Value Lookup"))</f>
        <v>Value Lookup</v>
      </c>
      <c r="F238" s="4" t="str">
        <f>IF(ISERROR("ALT_3"),"",HYPERLINK("#INDEX('Frequencies'!A:A,MATCH(A" &amp; ROW() &amp; ",'Frequencies'!A:A,0))","Frequencies"))</f>
        <v>Frequencies</v>
      </c>
      <c r="G238" s="2"/>
      <c r="H238" s="2">
        <v>97</v>
      </c>
      <c r="I238" s="2"/>
      <c r="J238" s="2"/>
      <c r="K238" s="2"/>
      <c r="L238" s="2"/>
    </row>
    <row r="239" spans="1:12" ht="50.1" hidden="1" customHeight="1" x14ac:dyDescent="0.25">
      <c r="A239" s="3" t="s">
        <v>23</v>
      </c>
      <c r="B239" s="2" t="s">
        <v>24</v>
      </c>
      <c r="C239" s="2" t="s">
        <v>18</v>
      </c>
      <c r="D239" s="2" t="s">
        <v>15</v>
      </c>
      <c r="E239" s="4" t="str">
        <f>IF(ISERROR("ALT_4"),"",HYPERLINK("#INDEX('Value Lookup'!A:A,MATCH(A" &amp; ROW() &amp; ",'Value Lookup'!A:A,0))","Value Lookup"))</f>
        <v>Value Lookup</v>
      </c>
      <c r="F239" s="4" t="str">
        <f>IF(ISERROR("ALT_4"),"",HYPERLINK("#INDEX('Frequencies'!A:A,MATCH(A" &amp; ROW() &amp; ",'Frequencies'!A:A,0))","Frequencies"))</f>
        <v>Frequencies</v>
      </c>
      <c r="G239" s="2"/>
      <c r="H239" s="2">
        <v>98</v>
      </c>
      <c r="I239" s="2"/>
      <c r="J239" s="2"/>
      <c r="K239" s="2"/>
      <c r="L239" s="2"/>
    </row>
    <row r="240" spans="1:12" ht="50.1" hidden="1" customHeight="1" x14ac:dyDescent="0.25">
      <c r="A240" s="3" t="s">
        <v>25</v>
      </c>
      <c r="B240" s="2" t="s">
        <v>26</v>
      </c>
      <c r="C240" s="2" t="s">
        <v>18</v>
      </c>
      <c r="D240" s="2" t="s">
        <v>15</v>
      </c>
      <c r="E240" s="4" t="str">
        <f>IF(ISERROR("ALT_5"),"",HYPERLINK("#INDEX('Value Lookup'!A:A,MATCH(A" &amp; ROW() &amp; ",'Value Lookup'!A:A,0))","Value Lookup"))</f>
        <v>Value Lookup</v>
      </c>
      <c r="F240" s="4" t="str">
        <f>IF(ISERROR("ALT_5"),"",HYPERLINK("#INDEX('Frequencies'!A:A,MATCH(A" &amp; ROW() &amp; ",'Frequencies'!A:A,0))","Frequencies"))</f>
        <v>Frequencies</v>
      </c>
      <c r="G240" s="2"/>
      <c r="H240" s="2">
        <v>99</v>
      </c>
      <c r="I240" s="2"/>
      <c r="J240" s="2"/>
      <c r="K240" s="2"/>
      <c r="L240" s="2"/>
    </row>
    <row r="241" spans="1:12" ht="50.1" hidden="1" customHeight="1" x14ac:dyDescent="0.25">
      <c r="A241" s="3" t="s">
        <v>27</v>
      </c>
      <c r="B241" s="2" t="s">
        <v>28</v>
      </c>
      <c r="C241" s="2" t="s">
        <v>18</v>
      </c>
      <c r="D241" s="2" t="s">
        <v>15</v>
      </c>
      <c r="E241" s="4" t="str">
        <f>IF(ISERROR("ALT_6"),"",HYPERLINK("#INDEX('Value Lookup'!A:A,MATCH(A" &amp; ROW() &amp; ",'Value Lookup'!A:A,0))","Value Lookup"))</f>
        <v>Value Lookup</v>
      </c>
      <c r="F241" s="4" t="str">
        <f>IF(ISERROR("ALT_6"),"",HYPERLINK("#INDEX('Frequencies'!A:A,MATCH(A" &amp; ROW() &amp; ",'Frequencies'!A:A,0))","Frequencies"))</f>
        <v>Frequencies</v>
      </c>
      <c r="G241" s="2"/>
      <c r="H241" s="2">
        <v>100</v>
      </c>
      <c r="I241" s="2"/>
      <c r="J241" s="2"/>
      <c r="K241" s="2"/>
      <c r="L241" s="2"/>
    </row>
    <row r="242" spans="1:12" ht="50.1" hidden="1" customHeight="1" x14ac:dyDescent="0.25">
      <c r="A242" s="3" t="s">
        <v>29</v>
      </c>
      <c r="B242" s="2" t="s">
        <v>30</v>
      </c>
      <c r="C242" s="2" t="s">
        <v>18</v>
      </c>
      <c r="D242" s="2" t="s">
        <v>15</v>
      </c>
      <c r="E242" s="4" t="str">
        <f>IF(ISERROR("ALT_7"),"",HYPERLINK("#INDEX('Value Lookup'!A:A,MATCH(A" &amp; ROW() &amp; ",'Value Lookup'!A:A,0))","Value Lookup"))</f>
        <v>Value Lookup</v>
      </c>
      <c r="F242" s="4" t="str">
        <f>IF(ISERROR("ALT_7"),"",HYPERLINK("#INDEX('Frequencies'!A:A,MATCH(A" &amp; ROW() &amp; ",'Frequencies'!A:A,0))","Frequencies"))</f>
        <v>Frequencies</v>
      </c>
      <c r="G242" s="2"/>
      <c r="H242" s="2">
        <v>101</v>
      </c>
      <c r="I242" s="2"/>
      <c r="J242" s="2"/>
      <c r="K242" s="2"/>
      <c r="L242" s="2"/>
    </row>
    <row r="243" spans="1:12" ht="50.1" hidden="1" customHeight="1" x14ac:dyDescent="0.25">
      <c r="A243" s="3" t="s">
        <v>31</v>
      </c>
      <c r="B243" s="2" t="s">
        <v>32</v>
      </c>
      <c r="C243" s="2" t="s">
        <v>18</v>
      </c>
      <c r="D243" s="2" t="s">
        <v>15</v>
      </c>
      <c r="E243" s="4" t="str">
        <f>IF(ISERROR("ALT_DK"),"",HYPERLINK("#INDEX('Value Lookup'!A:A,MATCH(A" &amp; ROW() &amp; ",'Value Lookup'!A:A,0))","Value Lookup"))</f>
        <v>Value Lookup</v>
      </c>
      <c r="F243" s="4" t="str">
        <f>IF(ISERROR("ALT_DK"),"",HYPERLINK("#INDEX('Frequencies'!A:A,MATCH(A" &amp; ROW() &amp; ",'Frequencies'!A:A,0))","Frequencies"))</f>
        <v>Frequencies</v>
      </c>
      <c r="G243" s="2"/>
      <c r="H243" s="2">
        <v>102</v>
      </c>
      <c r="I243" s="2"/>
      <c r="J243" s="2"/>
      <c r="K243" s="2"/>
      <c r="L243" s="2"/>
    </row>
    <row r="244" spans="1:12" ht="50.1" hidden="1" customHeight="1" x14ac:dyDescent="0.25">
      <c r="A244" s="3" t="s">
        <v>35</v>
      </c>
      <c r="B244" s="2" t="s">
        <v>36</v>
      </c>
      <c r="C244" s="2" t="s">
        <v>18</v>
      </c>
      <c r="D244" s="2" t="s">
        <v>15</v>
      </c>
      <c r="E244" s="4" t="str">
        <f>IF(ISERROR("ALT_RF"),"",HYPERLINK("#INDEX('Value Lookup'!A:A,MATCH(A" &amp; ROW() &amp; ",'Value Lookup'!A:A,0))","Value Lookup"))</f>
        <v>Value Lookup</v>
      </c>
      <c r="F244" s="4" t="str">
        <f>IF(ISERROR("ALT_RF"),"",HYPERLINK("#INDEX('Frequencies'!A:A,MATCH(A" &amp; ROW() &amp; ",'Frequencies'!A:A,0))","Frequencies"))</f>
        <v>Frequencies</v>
      </c>
      <c r="G244" s="2"/>
      <c r="H244" s="2">
        <v>103</v>
      </c>
      <c r="I244" s="2"/>
      <c r="J244" s="2"/>
      <c r="K244" s="2"/>
      <c r="L244" s="2"/>
    </row>
    <row r="245" spans="1:12" ht="50.1" hidden="1" customHeight="1" x14ac:dyDescent="0.25">
      <c r="A245" s="3" t="s">
        <v>37</v>
      </c>
      <c r="B245" s="2" t="s">
        <v>38</v>
      </c>
      <c r="C245" s="2" t="s">
        <v>18</v>
      </c>
      <c r="D245" s="2" t="s">
        <v>15</v>
      </c>
      <c r="E245" s="4" t="str">
        <f>IF(ISERROR("ALT_SE"),"",HYPERLINK("#INDEX('Value Lookup'!A:A,MATCH(A" &amp; ROW() &amp; ",'Value Lookup'!A:A,0))","Value Lookup"))</f>
        <v>Value Lookup</v>
      </c>
      <c r="F245" s="4" t="str">
        <f>IF(ISERROR("ALT_SE"),"",HYPERLINK("#INDEX('Frequencies'!A:A,MATCH(A" &amp; ROW() &amp; ",'Frequencies'!A:A,0))","Frequencies"))</f>
        <v>Frequencies</v>
      </c>
      <c r="G245" s="2"/>
      <c r="H245" s="2">
        <v>104</v>
      </c>
      <c r="I245" s="2"/>
      <c r="J245" s="2"/>
      <c r="K245" s="2"/>
      <c r="L245" s="2"/>
    </row>
    <row r="246" spans="1:12" ht="50.1" hidden="1" customHeight="1" x14ac:dyDescent="0.25">
      <c r="A246" s="3" t="s">
        <v>242</v>
      </c>
      <c r="B246" s="2" t="s">
        <v>243</v>
      </c>
      <c r="C246" s="2"/>
      <c r="D246" s="2" t="s">
        <v>15</v>
      </c>
      <c r="E246" s="4" t="str">
        <f>IF(ISERROR("HH_HISP"),"",HYPERLINK("#INDEX('Value Lookup'!A:A,MATCH(A" &amp; ROW() &amp; ",'Value Lookup'!A:A,0))","Value Lookup"))</f>
        <v>Value Lookup</v>
      </c>
      <c r="F246" s="4" t="str">
        <f>IF(ISERROR("HH_HISP"),"",HYPERLINK("#INDEX('Frequencies'!A:A,MATCH(A" &amp; ROW() &amp; ",'Frequencies'!A:A,0))","Frequencies"))</f>
        <v>Frequencies</v>
      </c>
      <c r="G246" s="2">
        <v>78</v>
      </c>
      <c r="H246" s="2"/>
      <c r="I246" s="2"/>
      <c r="J246" s="2"/>
      <c r="K246" s="2"/>
      <c r="L246" s="2"/>
    </row>
    <row r="247" spans="1:12" ht="50.1" hidden="1" customHeight="1" x14ac:dyDescent="0.25">
      <c r="A247" s="3" t="s">
        <v>237</v>
      </c>
      <c r="B247" s="2" t="s">
        <v>238</v>
      </c>
      <c r="C247" s="2"/>
      <c r="D247" s="2" t="s">
        <v>15</v>
      </c>
      <c r="E247" s="4" t="str">
        <f>IF(ISERROR("HH_CBSA"),"",HYPERLINK("#INDEX('Value Lookup'!A:A,MATCH(A" &amp; ROW() &amp; ",'Value Lookup'!A:A,0))","Value Lookup"))</f>
        <v>Value Lookup</v>
      </c>
      <c r="F247" s="4" t="str">
        <f>IF(ISERROR("HH_CBSA"),"",HYPERLINK("#INDEX('Frequencies'!A:A,MATCH(A" &amp; ROW() &amp; ",'Frequencies'!A:A,0))","Frequencies"))</f>
        <v>Frequencies</v>
      </c>
      <c r="G247" s="2">
        <v>79</v>
      </c>
      <c r="H247" s="2"/>
      <c r="I247" s="2"/>
      <c r="J247" s="2"/>
      <c r="K247" s="2"/>
      <c r="L247" s="2"/>
    </row>
    <row r="248" spans="1:12" ht="50.1" hidden="1" customHeight="1" x14ac:dyDescent="0.25">
      <c r="A248" s="3" t="s">
        <v>33</v>
      </c>
      <c r="B248" s="2" t="s">
        <v>34</v>
      </c>
      <c r="C248" s="2"/>
      <c r="D248" s="2" t="s">
        <v>15</v>
      </c>
      <c r="E248" s="4" t="str">
        <f>IF(ISERROR("ALT_O"),"",HYPERLINK("#INDEX('Value Lookup'!A:A,MATCH(A" &amp; ROW() &amp; ",'Value Lookup'!A:A,0))","Value Lookup"))</f>
        <v>Value Lookup</v>
      </c>
      <c r="F248" s="4" t="str">
        <f>IF(ISERROR("ALT_O"),"",HYPERLINK("#INDEX('Frequencies'!A:A,MATCH(A" &amp; ROW() &amp; ",'Frequencies'!A:A,0))","Frequencies"))</f>
        <v>Frequencies</v>
      </c>
      <c r="G248" s="2"/>
      <c r="H248" s="2">
        <v>105</v>
      </c>
      <c r="I248" s="2"/>
      <c r="J248" s="2"/>
      <c r="K248" s="2"/>
      <c r="L248" s="2"/>
    </row>
    <row r="249" spans="1:12" ht="50.1" hidden="1" customHeight="1" x14ac:dyDescent="0.25">
      <c r="A249" s="3" t="s">
        <v>928</v>
      </c>
      <c r="B249" s="2" t="s">
        <v>929</v>
      </c>
      <c r="C249" s="2" t="s">
        <v>388</v>
      </c>
      <c r="D249" s="2" t="s">
        <v>15</v>
      </c>
      <c r="E249" s="4" t="str">
        <f>IF(ISERROR("W_NONE"),"",HYPERLINK("#INDEX('Value Lookup'!A:A,MATCH(A" &amp; ROW() &amp; ",'Value Lookup'!A:A,0))","Value Lookup"))</f>
        <v>Value Lookup</v>
      </c>
      <c r="F249" s="4" t="str">
        <f>IF(ISERROR("W_NONE"),"",HYPERLINK("#INDEX('Frequencies'!A:A,MATCH(A" &amp; ROW() &amp; ",'Frequencies'!A:A,0))","Frequencies"))</f>
        <v>Frequencies</v>
      </c>
      <c r="G249" s="2"/>
      <c r="H249" s="2">
        <v>106</v>
      </c>
      <c r="I249" s="2"/>
      <c r="J249" s="2"/>
      <c r="K249" s="2"/>
      <c r="L249" s="2"/>
    </row>
    <row r="250" spans="1:12" ht="50.1" hidden="1" customHeight="1" x14ac:dyDescent="0.25">
      <c r="A250" s="3" t="s">
        <v>879</v>
      </c>
      <c r="B250" s="2" t="s">
        <v>880</v>
      </c>
      <c r="C250" s="2" t="s">
        <v>388</v>
      </c>
      <c r="D250" s="2" t="s">
        <v>15</v>
      </c>
      <c r="E250" s="4" t="str">
        <f>IF(ISERROR("W_CANE"),"",HYPERLINK("#INDEX('Value Lookup'!A:A,MATCH(A" &amp; ROW() &amp; ",'Value Lookup'!A:A,0))","Value Lookup"))</f>
        <v>Value Lookup</v>
      </c>
      <c r="F250" s="4" t="str">
        <f>IF(ISERROR("W_CANE"),"",HYPERLINK("#INDEX('Frequencies'!A:A,MATCH(A" &amp; ROW() &amp; ",'Frequencies'!A:A,0))","Frequencies"))</f>
        <v>Frequencies</v>
      </c>
      <c r="G250" s="2"/>
      <c r="H250" s="2">
        <v>107</v>
      </c>
      <c r="I250" s="2"/>
      <c r="J250" s="2"/>
      <c r="K250" s="2"/>
      <c r="L250" s="2"/>
    </row>
    <row r="251" spans="1:12" ht="50.1" hidden="1" customHeight="1" x14ac:dyDescent="0.25">
      <c r="A251" s="3" t="s">
        <v>958</v>
      </c>
      <c r="B251" s="2" t="s">
        <v>959</v>
      </c>
      <c r="C251" s="2" t="s">
        <v>388</v>
      </c>
      <c r="D251" s="2" t="s">
        <v>15</v>
      </c>
      <c r="E251" s="4" t="str">
        <f>IF(ISERROR("W_WLKR"),"",HYPERLINK("#INDEX('Value Lookup'!A:A,MATCH(A" &amp; ROW() &amp; ",'Value Lookup'!A:A,0))","Value Lookup"))</f>
        <v>Value Lookup</v>
      </c>
      <c r="F251" s="4" t="str">
        <f>IF(ISERROR("W_WLKR"),"",HYPERLINK("#INDEX('Frequencies'!A:A,MATCH(A" &amp; ROW() &amp; ",'Frequencies'!A:A,0))","Frequencies"))</f>
        <v>Frequencies</v>
      </c>
      <c r="G251" s="2"/>
      <c r="H251" s="2">
        <v>108</v>
      </c>
      <c r="I251" s="2"/>
      <c r="J251" s="2"/>
      <c r="K251" s="2"/>
      <c r="L251" s="2"/>
    </row>
    <row r="252" spans="1:12" ht="50.1" hidden="1" customHeight="1" x14ac:dyDescent="0.25">
      <c r="A252" s="3" t="s">
        <v>956</v>
      </c>
      <c r="B252" s="2" t="s">
        <v>957</v>
      </c>
      <c r="C252" s="2" t="s">
        <v>388</v>
      </c>
      <c r="D252" s="2" t="s">
        <v>15</v>
      </c>
      <c r="E252" s="4" t="str">
        <f>IF(ISERROR("W_WHCANE"),"",HYPERLINK("#INDEX('Value Lookup'!A:A,MATCH(A" &amp; ROW() &amp; ",'Value Lookup'!A:A,0))","Value Lookup"))</f>
        <v>Value Lookup</v>
      </c>
      <c r="F252" s="4" t="str">
        <f>IF(ISERROR("W_WHCANE"),"",HYPERLINK("#INDEX('Frequencies'!A:A,MATCH(A" &amp; ROW() &amp; ",'Frequencies'!A:A,0))","Frequencies"))</f>
        <v>Frequencies</v>
      </c>
      <c r="G252" s="2"/>
      <c r="H252" s="2">
        <v>109</v>
      </c>
      <c r="I252" s="2"/>
      <c r="J252" s="2"/>
      <c r="K252" s="2"/>
      <c r="L252" s="2"/>
    </row>
    <row r="253" spans="1:12" ht="50.1" hidden="1" customHeight="1" x14ac:dyDescent="0.25">
      <c r="A253" s="3" t="s">
        <v>564</v>
      </c>
      <c r="B253" s="2" t="s">
        <v>565</v>
      </c>
      <c r="C253" s="2"/>
      <c r="D253" s="2" t="s">
        <v>41</v>
      </c>
      <c r="E253" s="2" t="str">
        <f>IF(ISERROR("RESP_CNT"),"","NA")</f>
        <v>NA</v>
      </c>
      <c r="F253" s="4" t="str">
        <f>IF(ISERROR("RESP_CNT"),"",HYPERLINK("#INDEX('Frequencies'!A:A,MATCH(A" &amp; ROW() &amp; ",'Frequencies'!A:A,0))","Frequencies"))</f>
        <v>Frequencies</v>
      </c>
      <c r="G253" s="2">
        <v>80</v>
      </c>
      <c r="H253" s="2"/>
      <c r="I253" s="2"/>
      <c r="J253" s="2"/>
      <c r="K253" s="2"/>
      <c r="L253" s="2"/>
    </row>
    <row r="254" spans="1:12" ht="50.1" hidden="1" customHeight="1" x14ac:dyDescent="0.25">
      <c r="A254" s="3" t="s">
        <v>186</v>
      </c>
      <c r="B254" s="2" t="s">
        <v>187</v>
      </c>
      <c r="C254" s="2"/>
      <c r="D254" s="2" t="s">
        <v>15</v>
      </c>
      <c r="E254" s="4" t="str">
        <f>IF(ISERROR("FLAG100"),"",HYPERLINK("#INDEX('Value Lookup'!A:A,MATCH(A" &amp; ROW() &amp; ",'Value Lookup'!A:A,0))","Value Lookup"))</f>
        <v>Value Lookup</v>
      </c>
      <c r="F254" s="4" t="str">
        <f>IF(ISERROR("FLAG100"),"",HYPERLINK("#INDEX('Frequencies'!A:A,MATCH(A" &amp; ROW() &amp; ",'Frequencies'!A:A,0))","Frequencies"))</f>
        <v>Frequencies</v>
      </c>
      <c r="G254" s="2">
        <v>81</v>
      </c>
      <c r="H254" s="2"/>
      <c r="I254" s="2"/>
      <c r="J254" s="2"/>
      <c r="K254" s="2"/>
      <c r="L254" s="2"/>
    </row>
    <row r="255" spans="1:12" ht="50.1" hidden="1" customHeight="1" x14ac:dyDescent="0.25">
      <c r="A255" s="3" t="s">
        <v>216</v>
      </c>
      <c r="B255" s="2" t="s">
        <v>217</v>
      </c>
      <c r="C255" s="2"/>
      <c r="D255" s="2" t="s">
        <v>15</v>
      </c>
      <c r="E255" s="4" t="str">
        <f>IF(ISERROR("HBHTNRNT"),"",HYPERLINK("#INDEX('Value Lookup'!A:A,MATCH(A" &amp; ROW() &amp; ",'Value Lookup'!A:A,0))","Value Lookup"))</f>
        <v>Value Lookup</v>
      </c>
      <c r="F255" s="4" t="str">
        <f>IF(ISERROR("HBHTNRNT"),"",HYPERLINK("#INDEX('Frequencies'!A:A,MATCH(A" &amp; ROW() &amp; ",'Frequencies'!A:A,0))","Frequencies"))</f>
        <v>Frequencies</v>
      </c>
      <c r="G255" s="2">
        <v>82</v>
      </c>
      <c r="H255" s="2"/>
      <c r="I255" s="2"/>
      <c r="J255" s="2"/>
      <c r="K255" s="2"/>
      <c r="L255" s="2"/>
    </row>
    <row r="256" spans="1:12" ht="50.1" hidden="1" customHeight="1" x14ac:dyDescent="0.25">
      <c r="A256" s="3" t="s">
        <v>220</v>
      </c>
      <c r="B256" s="2" t="s">
        <v>221</v>
      </c>
      <c r="C256" s="2"/>
      <c r="D256" s="2" t="s">
        <v>15</v>
      </c>
      <c r="E256" s="4" t="str">
        <f>IF(ISERROR("HBPPOPDN"),"",HYPERLINK("#INDEX('Value Lookup'!A:A,MATCH(A" &amp; ROW() &amp; ",'Value Lookup'!A:A,0))","Value Lookup"))</f>
        <v>Value Lookup</v>
      </c>
      <c r="F256" s="4" t="str">
        <f>IF(ISERROR("HBPPOPDN"),"",HYPERLINK("#INDEX('Frequencies'!A:A,MATCH(A" &amp; ROW() &amp; ",'Frequencies'!A:A,0))","Frequencies"))</f>
        <v>Frequencies</v>
      </c>
      <c r="G256" s="2">
        <v>83</v>
      </c>
      <c r="H256" s="2"/>
      <c r="I256" s="2"/>
      <c r="J256" s="2"/>
      <c r="K256" s="2"/>
      <c r="L256" s="2"/>
    </row>
    <row r="257" spans="1:12" ht="50.1" hidden="1" customHeight="1" x14ac:dyDescent="0.25">
      <c r="A257" s="3" t="s">
        <v>622</v>
      </c>
      <c r="B257" s="2" t="s">
        <v>623</v>
      </c>
      <c r="C257" s="2"/>
      <c r="D257" s="2" t="s">
        <v>15</v>
      </c>
      <c r="E257" s="4" t="str">
        <f>IF(ISERROR("STATE"),"",HYPERLINK("#INDEX('Value Lookup'!A:A,MATCH(A" &amp; ROW() &amp; ",'Value Lookup'!A:A,0))","Value Lookup"))</f>
        <v>Value Lookup</v>
      </c>
      <c r="F257" s="4" t="str">
        <f>IF(ISERROR("STATE"),"",HYPERLINK("#INDEX('Frequencies'!A:A,MATCH(A" &amp; ROW() &amp; ",'Frequencies'!A:A,0))","Frequencies"))</f>
        <v>Frequencies</v>
      </c>
      <c r="G257" s="2"/>
      <c r="H257" s="2"/>
      <c r="I257" s="2"/>
      <c r="J257" s="2"/>
      <c r="K257" s="2">
        <v>10</v>
      </c>
      <c r="L257" s="2"/>
    </row>
    <row r="258" spans="1:12" ht="50.1" hidden="1" customHeight="1" x14ac:dyDescent="0.25">
      <c r="A258" s="3" t="s">
        <v>624</v>
      </c>
      <c r="B258" s="2" t="s">
        <v>625</v>
      </c>
      <c r="C258" s="2"/>
      <c r="D258" s="2" t="s">
        <v>15</v>
      </c>
      <c r="E258" s="4" t="str">
        <f>IF(ISERROR("STATEFIPS"),"",HYPERLINK("#INDEX('Value Lookup'!A:A,MATCH(A" &amp; ROW() &amp; ",'Value Lookup'!A:A,0))","Value Lookup"))</f>
        <v>Value Lookup</v>
      </c>
      <c r="F258" s="4" t="str">
        <f>IF(ISERROR("STATEFIPS"),"",HYPERLINK("#INDEX('Frequencies'!A:A,MATCH(A" &amp; ROW() &amp; ",'Frequencies'!A:A,0))","Frequencies"))</f>
        <v>Frequencies</v>
      </c>
      <c r="G258" s="2"/>
      <c r="H258" s="2"/>
      <c r="I258" s="2"/>
      <c r="J258" s="2"/>
      <c r="K258" s="2">
        <v>15</v>
      </c>
      <c r="L258" s="2"/>
    </row>
    <row r="259" spans="1:12" ht="50.1" hidden="1" customHeight="1" x14ac:dyDescent="0.25">
      <c r="A259" s="3" t="s">
        <v>626</v>
      </c>
      <c r="B259" s="2" t="s">
        <v>627</v>
      </c>
      <c r="C259" s="2"/>
      <c r="D259" s="2" t="s">
        <v>15</v>
      </c>
      <c r="E259" s="2" t="str">
        <f>IF(ISERROR("STREETADDR"),"","NA")</f>
        <v>NA</v>
      </c>
      <c r="F259" s="4" t="str">
        <f>IF(ISERROR("STREETADDR"),"",HYPERLINK("#INDEX('Frequencies'!A:A,MATCH(A" &amp; ROW() &amp; ",'Frequencies'!A:A,0))","Frequencies"))</f>
        <v>Frequencies</v>
      </c>
      <c r="G259" s="2"/>
      <c r="H259" s="2"/>
      <c r="I259" s="2"/>
      <c r="J259" s="2"/>
      <c r="K259" s="2">
        <v>8</v>
      </c>
      <c r="L259" s="2"/>
    </row>
    <row r="260" spans="1:12" ht="50.1" customHeight="1" x14ac:dyDescent="0.25">
      <c r="A260" s="3" t="s">
        <v>777</v>
      </c>
      <c r="B260" s="2" t="s">
        <v>778</v>
      </c>
      <c r="C260" s="2"/>
      <c r="D260" s="2" t="s">
        <v>15</v>
      </c>
      <c r="E260" s="4" t="str">
        <f>IF(ISERROR("TRPHHVEH"),"",HYPERLINK("#INDEX('Value Lookup'!A:A,MATCH(A" &amp; ROW() &amp; ",'Value Lookup'!A:A,0))","Value Lookup"))</f>
        <v>Value Lookup</v>
      </c>
      <c r="F260" s="4" t="str">
        <f>IF(ISERROR("TRPHHVEH"),"",HYPERLINK("#INDEX('Frequencies'!A:A,MATCH(A" &amp; ROW() &amp; ",'Frequencies'!A:A,0))","Frequencies"))</f>
        <v>Frequencies</v>
      </c>
      <c r="G260" s="2"/>
      <c r="H260" s="2"/>
      <c r="I260" s="2"/>
      <c r="J260" s="2">
        <v>39</v>
      </c>
      <c r="K260" s="2"/>
      <c r="L260" s="2"/>
    </row>
    <row r="261" spans="1:12" ht="50.1" customHeight="1" x14ac:dyDescent="0.25">
      <c r="A261" s="3" t="s">
        <v>244</v>
      </c>
      <c r="B261" s="2" t="s">
        <v>245</v>
      </c>
      <c r="C261" s="2"/>
      <c r="D261" s="2" t="s">
        <v>15</v>
      </c>
      <c r="E261" s="4" t="str">
        <f>IF(ISERROR("HHMEMDRV"),"",HYPERLINK("#INDEX('Value Lookup'!A:A,MATCH(A" &amp; ROW() &amp; ",'Value Lookup'!A:A,0))","Value Lookup"))</f>
        <v>Value Lookup</v>
      </c>
      <c r="F261" s="4" t="str">
        <f>IF(ISERROR("HHMEMDRV"),"",HYPERLINK("#INDEX('Frequencies'!A:A,MATCH(A" &amp; ROW() &amp; ",'Frequencies'!A:A,0))","Frequencies"))</f>
        <v>Frequencies</v>
      </c>
      <c r="G261" s="2"/>
      <c r="H261" s="2"/>
      <c r="I261" s="2"/>
      <c r="J261" s="2">
        <v>40</v>
      </c>
      <c r="K261" s="2"/>
      <c r="L261" s="2"/>
    </row>
    <row r="262" spans="1:12" ht="50.1" customHeight="1" x14ac:dyDescent="0.25">
      <c r="A262" s="3" t="s">
        <v>246</v>
      </c>
      <c r="B262" s="2" t="s">
        <v>247</v>
      </c>
      <c r="C262" s="2"/>
      <c r="D262" s="2" t="s">
        <v>15</v>
      </c>
      <c r="E262" s="4" t="str">
        <f>IF(ISERROR("HH_ONTD"),"",HYPERLINK("#INDEX('Value Lookup'!A:A,MATCH(A" &amp; ROW() &amp; ",'Value Lookup'!A:A,0))","Value Lookup"))</f>
        <v>Value Lookup</v>
      </c>
      <c r="F262" s="4" t="str">
        <f>IF(ISERROR("HH_ONTD"),"",HYPERLINK("#INDEX('Frequencies'!A:A,MATCH(A" &amp; ROW() &amp; ",'Frequencies'!A:A,0))","Frequencies"))</f>
        <v>Frequencies</v>
      </c>
      <c r="G262" s="2"/>
      <c r="H262" s="2"/>
      <c r="I262" s="2"/>
      <c r="J262" s="2">
        <v>41</v>
      </c>
      <c r="K262" s="2"/>
      <c r="L262" s="2"/>
    </row>
    <row r="263" spans="1:12" ht="50.1" customHeight="1" x14ac:dyDescent="0.25">
      <c r="A263" s="3" t="s">
        <v>417</v>
      </c>
      <c r="B263" s="2" t="s">
        <v>418</v>
      </c>
      <c r="C263" s="2"/>
      <c r="D263" s="2" t="s">
        <v>15</v>
      </c>
      <c r="E263" s="4" t="str">
        <f>IF(ISERROR("NONHHCNT"),"",HYPERLINK("#INDEX('Value Lookup'!A:A,MATCH(A" &amp; ROW() &amp; ",'Value Lookup'!A:A,0))","Value Lookup"))</f>
        <v>Value Lookup</v>
      </c>
      <c r="F263" s="4" t="str">
        <f>IF(ISERROR("NONHHCNT"),"",HYPERLINK("#INDEX('Frequencies'!A:A,MATCH(A" &amp; ROW() &amp; ",'Frequencies'!A:A,0))","Frequencies"))</f>
        <v>Frequencies</v>
      </c>
      <c r="G263" s="2"/>
      <c r="H263" s="2"/>
      <c r="I263" s="2"/>
      <c r="J263" s="2">
        <v>42</v>
      </c>
      <c r="K263" s="2"/>
      <c r="L263" s="2"/>
    </row>
    <row r="264" spans="1:12" ht="50.1" customHeight="1" x14ac:dyDescent="0.25">
      <c r="A264" s="3" t="s">
        <v>421</v>
      </c>
      <c r="B264" s="2" t="s">
        <v>422</v>
      </c>
      <c r="C264" s="2"/>
      <c r="D264" s="2" t="s">
        <v>41</v>
      </c>
      <c r="E264" s="4" t="str">
        <f>IF(ISERROR("NUMONTRP"),"",HYPERLINK("#INDEX('Value Lookup'!A:A,MATCH(A" &amp; ROW() &amp; ",'Value Lookup'!A:A,0))","Value Lookup"))</f>
        <v>Value Lookup</v>
      </c>
      <c r="F264" s="4" t="str">
        <f>IF(ISERROR("NUMONTRP"),"",HYPERLINK("#INDEX('Frequencies'!A:A,MATCH(A" &amp; ROW() &amp; ",'Frequencies'!A:A,0))","Frequencies"))</f>
        <v>Frequencies</v>
      </c>
      <c r="G264" s="2"/>
      <c r="H264" s="2"/>
      <c r="I264" s="2"/>
      <c r="J264" s="2">
        <v>43</v>
      </c>
      <c r="K264" s="2"/>
      <c r="L264" s="2"/>
    </row>
    <row r="265" spans="1:12" ht="50.1" hidden="1" customHeight="1" x14ac:dyDescent="0.25">
      <c r="A265" s="3" t="s">
        <v>224</v>
      </c>
      <c r="B265" s="2" t="s">
        <v>225</v>
      </c>
      <c r="C265" s="2"/>
      <c r="D265" s="2" t="s">
        <v>15</v>
      </c>
      <c r="E265" s="4" t="str">
        <f>IF(ISERROR("HBRESDN"),"",HYPERLINK("#INDEX('Value Lookup'!A:A,MATCH(A" &amp; ROW() &amp; ",'Value Lookup'!A:A,0))","Value Lookup"))</f>
        <v>Value Lookup</v>
      </c>
      <c r="F265" s="4" t="str">
        <f>IF(ISERROR("HBRESDN"),"",HYPERLINK("#INDEX('Frequencies'!A:A,MATCH(A" &amp; ROW() &amp; ",'Frequencies'!A:A,0))","Frequencies"))</f>
        <v>Frequencies</v>
      </c>
      <c r="G265" s="2">
        <v>84</v>
      </c>
      <c r="H265" s="2"/>
      <c r="I265" s="2"/>
      <c r="J265" s="2"/>
      <c r="K265" s="2"/>
      <c r="L265" s="2"/>
    </row>
    <row r="266" spans="1:12" ht="50.1" hidden="1" customHeight="1" x14ac:dyDescent="0.25">
      <c r="A266" s="3" t="s">
        <v>281</v>
      </c>
      <c r="B266" s="2" t="s">
        <v>282</v>
      </c>
      <c r="C266" s="2"/>
      <c r="D266" s="2" t="s">
        <v>15</v>
      </c>
      <c r="E266" s="4" t="str">
        <f>IF(ISERROR("HTEEMPDN"),"",HYPERLINK("#INDEX('Value Lookup'!A:A,MATCH(A" &amp; ROW() &amp; ",'Value Lookup'!A:A,0))","Value Lookup"))</f>
        <v>Value Lookup</v>
      </c>
      <c r="F266" s="4" t="str">
        <f>IF(ISERROR("HTEEMPDN"),"",HYPERLINK("#INDEX('Frequencies'!A:A,MATCH(A" &amp; ROW() &amp; ",'Frequencies'!A:A,0))","Frequencies"))</f>
        <v>Frequencies</v>
      </c>
      <c r="G266" s="2">
        <v>85</v>
      </c>
      <c r="H266" s="2"/>
      <c r="I266" s="2"/>
      <c r="J266" s="2"/>
      <c r="K266" s="2"/>
      <c r="L266" s="2"/>
    </row>
    <row r="267" spans="1:12" ht="50.1" hidden="1" customHeight="1" x14ac:dyDescent="0.25">
      <c r="A267" s="3" t="s">
        <v>285</v>
      </c>
      <c r="B267" s="2" t="s">
        <v>286</v>
      </c>
      <c r="C267" s="2"/>
      <c r="D267" s="2" t="s">
        <v>15</v>
      </c>
      <c r="E267" s="4" t="str">
        <f>IF(ISERROR("HTHTNRNT"),"",HYPERLINK("#INDEX('Value Lookup'!A:A,MATCH(A" &amp; ROW() &amp; ",'Value Lookup'!A:A,0))","Value Lookup"))</f>
        <v>Value Lookup</v>
      </c>
      <c r="F267" s="4" t="str">
        <f>IF(ISERROR("HTHTNRNT"),"",HYPERLINK("#INDEX('Frequencies'!A:A,MATCH(A" &amp; ROW() &amp; ",'Frequencies'!A:A,0))","Frequencies"))</f>
        <v>Frequencies</v>
      </c>
      <c r="G267" s="2">
        <v>86</v>
      </c>
      <c r="H267" s="2"/>
      <c r="I267" s="2"/>
      <c r="J267" s="2"/>
      <c r="K267" s="2"/>
      <c r="L267" s="2"/>
    </row>
    <row r="268" spans="1:12" ht="50.1" hidden="1" customHeight="1" x14ac:dyDescent="0.25">
      <c r="A268" s="3" t="s">
        <v>289</v>
      </c>
      <c r="B268" s="2" t="s">
        <v>290</v>
      </c>
      <c r="C268" s="2"/>
      <c r="D268" s="2" t="s">
        <v>15</v>
      </c>
      <c r="E268" s="4" t="str">
        <f>IF(ISERROR("HTPPOPDN"),"",HYPERLINK("#INDEX('Value Lookup'!A:A,MATCH(A" &amp; ROW() &amp; ",'Value Lookup'!A:A,0))","Value Lookup"))</f>
        <v>Value Lookup</v>
      </c>
      <c r="F268" s="4" t="str">
        <f>IF(ISERROR("HTPPOPDN"),"",HYPERLINK("#INDEX('Frequencies'!A:A,MATCH(A" &amp; ROW() &amp; ",'Frequencies'!A:A,0))","Frequencies"))</f>
        <v>Frequencies</v>
      </c>
      <c r="G268" s="2">
        <v>87</v>
      </c>
      <c r="H268" s="2"/>
      <c r="I268" s="2"/>
      <c r="J268" s="2"/>
      <c r="K268" s="2"/>
      <c r="L268" s="2"/>
    </row>
    <row r="269" spans="1:12" ht="50.1" customHeight="1" x14ac:dyDescent="0.25">
      <c r="A269" s="3" t="s">
        <v>512</v>
      </c>
      <c r="B269" s="2" t="s">
        <v>513</v>
      </c>
      <c r="C269" s="2"/>
      <c r="D269" s="2" t="s">
        <v>15</v>
      </c>
      <c r="E269" s="4" t="str">
        <f>IF(ISERROR("PSGR_FLG"),"",HYPERLINK("#INDEX('Value Lookup'!A:A,MATCH(A" &amp; ROW() &amp; ",'Value Lookup'!A:A,0))","Value Lookup"))</f>
        <v>Value Lookup</v>
      </c>
      <c r="F269" s="4" t="str">
        <f>IF(ISERROR("PSGR_FLG"),"",HYPERLINK("#INDEX('Frequencies'!A:A,MATCH(A" &amp; ROW() &amp; ",'Frequencies'!A:A,0))","Frequencies"))</f>
        <v>Frequencies</v>
      </c>
      <c r="G269" s="2"/>
      <c r="H269" s="2"/>
      <c r="I269" s="2"/>
      <c r="J269" s="2">
        <v>44</v>
      </c>
      <c r="K269" s="2"/>
      <c r="L269" s="2"/>
    </row>
    <row r="270" spans="1:12" ht="50.1" hidden="1" customHeight="1" x14ac:dyDescent="0.25">
      <c r="A270" s="3" t="s">
        <v>885</v>
      </c>
      <c r="B270" s="2" t="s">
        <v>886</v>
      </c>
      <c r="C270" s="2" t="s">
        <v>388</v>
      </c>
      <c r="D270" s="2" t="s">
        <v>15</v>
      </c>
      <c r="E270" s="4" t="str">
        <f>IF(ISERROR("W_DOG"),"",HYPERLINK("#INDEX('Value Lookup'!A:A,MATCH(A" &amp; ROW() &amp; ",'Value Lookup'!A:A,0))","Value Lookup"))</f>
        <v>Value Lookup</v>
      </c>
      <c r="F270" s="4" t="str">
        <f>IF(ISERROR("W_DOG"),"",HYPERLINK("#INDEX('Frequencies'!A:A,MATCH(A" &amp; ROW() &amp; ",'Frequencies'!A:A,0))","Frequencies"))</f>
        <v>Frequencies</v>
      </c>
      <c r="G270" s="2"/>
      <c r="H270" s="2">
        <v>110</v>
      </c>
      <c r="I270" s="2"/>
      <c r="J270" s="2"/>
      <c r="K270" s="2"/>
      <c r="L270" s="2"/>
    </row>
    <row r="271" spans="1:12" ht="50.1" customHeight="1" x14ac:dyDescent="0.25">
      <c r="A271" s="3" t="s">
        <v>523</v>
      </c>
      <c r="B271" s="2" t="s">
        <v>524</v>
      </c>
      <c r="C271" s="2"/>
      <c r="D271" s="2" t="s">
        <v>15</v>
      </c>
      <c r="E271" s="4" t="str">
        <f>IF(ISERROR("PUBTRANS"),"",HYPERLINK("#INDEX('Value Lookup'!A:A,MATCH(A" &amp; ROW() &amp; ",'Value Lookup'!A:A,0))","Value Lookup"))</f>
        <v>Value Lookup</v>
      </c>
      <c r="F271" s="4" t="str">
        <f>IF(ISERROR("PUBTRANS"),"",HYPERLINK("#INDEX('Frequencies'!A:A,MATCH(A" &amp; ROW() &amp; ",'Frequencies'!A:A,0))","Frequencies"))</f>
        <v>Frequencies</v>
      </c>
      <c r="G271" s="2"/>
      <c r="H271" s="2"/>
      <c r="I271" s="2"/>
      <c r="J271" s="2">
        <v>45</v>
      </c>
      <c r="K271" s="2"/>
      <c r="L271" s="2"/>
    </row>
    <row r="272" spans="1:12" ht="50.1" customHeight="1" x14ac:dyDescent="0.25">
      <c r="A272" s="3" t="s">
        <v>771</v>
      </c>
      <c r="B272" s="2" t="s">
        <v>772</v>
      </c>
      <c r="C272" s="2"/>
      <c r="D272" s="2" t="s">
        <v>15</v>
      </c>
      <c r="E272" s="4" t="str">
        <f>IF(ISERROR("TRIPPURP"),"",HYPERLINK("#INDEX('Value Lookup'!A:A,MATCH(A" &amp; ROW() &amp; ",'Value Lookup'!A:A,0))","Value Lookup"))</f>
        <v>Value Lookup</v>
      </c>
      <c r="F272" s="4" t="str">
        <f>IF(ISERROR("TRIPPURP"),"",HYPERLINK("#INDEX('Frequencies'!A:A,MATCH(A" &amp; ROW() &amp; ",'Frequencies'!A:A,0))","Frequencies"))</f>
        <v>Frequencies</v>
      </c>
      <c r="G272" s="2"/>
      <c r="H272" s="2"/>
      <c r="I272" s="2"/>
      <c r="J272" s="2">
        <v>46</v>
      </c>
      <c r="K272" s="2"/>
      <c r="L272" s="2"/>
    </row>
    <row r="273" spans="1:12" ht="50.1" hidden="1" customHeight="1" x14ac:dyDescent="0.25">
      <c r="A273" s="3" t="s">
        <v>883</v>
      </c>
      <c r="B273" s="2" t="s">
        <v>884</v>
      </c>
      <c r="C273" s="2" t="s">
        <v>388</v>
      </c>
      <c r="D273" s="2" t="s">
        <v>15</v>
      </c>
      <c r="E273" s="4" t="str">
        <f>IF(ISERROR("W_CRUTCH"),"",HYPERLINK("#INDEX('Value Lookup'!A:A,MATCH(A" &amp; ROW() &amp; ",'Value Lookup'!A:A,0))","Value Lookup"))</f>
        <v>Value Lookup</v>
      </c>
      <c r="F273" s="4" t="str">
        <f>IF(ISERROR("W_CRUTCH"),"",HYPERLINK("#INDEX('Frequencies'!A:A,MATCH(A" &amp; ROW() &amp; ",'Frequencies'!A:A,0))","Frequencies"))</f>
        <v>Frequencies</v>
      </c>
      <c r="G273" s="2"/>
      <c r="H273" s="2">
        <v>111</v>
      </c>
      <c r="I273" s="2"/>
      <c r="J273" s="2"/>
      <c r="K273" s="2"/>
      <c r="L273" s="2"/>
    </row>
    <row r="274" spans="1:12" ht="50.1" hidden="1" customHeight="1" x14ac:dyDescent="0.25">
      <c r="A274" s="3" t="s">
        <v>293</v>
      </c>
      <c r="B274" s="2" t="s">
        <v>294</v>
      </c>
      <c r="C274" s="2"/>
      <c r="D274" s="2" t="s">
        <v>15</v>
      </c>
      <c r="E274" s="4" t="str">
        <f>IF(ISERROR("HTRESDN"),"",HYPERLINK("#INDEX('Value Lookup'!A:A,MATCH(A" &amp; ROW() &amp; ",'Value Lookup'!A:A,0))","Value Lookup"))</f>
        <v>Value Lookup</v>
      </c>
      <c r="F274" s="4" t="str">
        <f>IF(ISERROR("HTRESDN"),"",HYPERLINK("#INDEX('Frequencies'!A:A,MATCH(A" &amp; ROW() &amp; ",'Frequencies'!A:A,0))","Frequencies"))</f>
        <v>Frequencies</v>
      </c>
      <c r="G274" s="2">
        <v>88</v>
      </c>
      <c r="H274" s="2"/>
      <c r="I274" s="2"/>
      <c r="J274" s="2"/>
      <c r="K274" s="2"/>
      <c r="L274" s="2"/>
    </row>
    <row r="275" spans="1:12" ht="50.1" customHeight="1" x14ac:dyDescent="0.25">
      <c r="A275" s="3" t="s">
        <v>164</v>
      </c>
      <c r="B275" s="2" t="s">
        <v>165</v>
      </c>
      <c r="C275" s="2"/>
      <c r="D275" s="2" t="s">
        <v>15</v>
      </c>
      <c r="E275" s="4" t="str">
        <f>IF(ISERROR("DWELTIME"),"",HYPERLINK("#INDEX('Value Lookup'!A:A,MATCH(A" &amp; ROW() &amp; ",'Value Lookup'!A:A,0))","Value Lookup"))</f>
        <v>Value Lookup</v>
      </c>
      <c r="F275" s="4" t="str">
        <f>IF(ISERROR("DWELTIME"),"",HYPERLINK("#INDEX('Frequencies'!A:A,MATCH(A" &amp; ROW() &amp; ",'Frequencies'!A:A,0))","Frequencies"))</f>
        <v>Frequencies</v>
      </c>
      <c r="G275" s="2"/>
      <c r="H275" s="2"/>
      <c r="I275" s="2"/>
      <c r="J275" s="2">
        <v>47</v>
      </c>
      <c r="K275" s="2"/>
      <c r="L275" s="2"/>
    </row>
    <row r="276" spans="1:12" ht="50.1" customHeight="1" x14ac:dyDescent="0.25">
      <c r="A276" s="3" t="s">
        <v>655</v>
      </c>
      <c r="B276" s="2" t="s">
        <v>656</v>
      </c>
      <c r="C276" s="2"/>
      <c r="D276" s="2" t="s">
        <v>15</v>
      </c>
      <c r="E276" s="4" t="str">
        <f>IF(ISERROR("TDWKND"),"",HYPERLINK("#INDEX('Value Lookup'!A:A,MATCH(A" &amp; ROW() &amp; ",'Value Lookup'!A:A,0))","Value Lookup"))</f>
        <v>Value Lookup</v>
      </c>
      <c r="F276" s="4" t="str">
        <f>IF(ISERROR("TDWKND"),"",HYPERLINK("#INDEX('Frequencies'!A:A,MATCH(A" &amp; ROW() &amp; ",'Frequencies'!A:A,0))","Frequencies"))</f>
        <v>Frequencies</v>
      </c>
      <c r="G276" s="2"/>
      <c r="H276" s="2"/>
      <c r="I276" s="2"/>
      <c r="J276" s="2">
        <v>48</v>
      </c>
      <c r="K276" s="2"/>
      <c r="L276" s="2"/>
    </row>
    <row r="277" spans="1:12" ht="50.1" customHeight="1" x14ac:dyDescent="0.25">
      <c r="A277" s="3" t="s">
        <v>844</v>
      </c>
      <c r="B277" s="2" t="s">
        <v>845</v>
      </c>
      <c r="C277" s="2"/>
      <c r="D277" s="2" t="s">
        <v>41</v>
      </c>
      <c r="E277" s="4" t="str">
        <f>IF(ISERROR("VMT_MILE"),"",HYPERLINK("#INDEX('Value Lookup'!A:A,MATCH(A" &amp; ROW() &amp; ",'Value Lookup'!A:A,0))","Value Lookup"))</f>
        <v>Value Lookup</v>
      </c>
      <c r="F277" s="4" t="str">
        <f>IF(ISERROR("VMT_MILE"),"",HYPERLINK("#INDEX('Frequencies'!A:A,MATCH(A" &amp; ROW() &amp; ",'Frequencies'!A:A,0))","Frequencies"))</f>
        <v>Frequencies</v>
      </c>
      <c r="G277" s="2"/>
      <c r="H277" s="2"/>
      <c r="I277" s="2"/>
      <c r="J277" s="2">
        <v>49</v>
      </c>
      <c r="K277" s="2"/>
      <c r="L277" s="2"/>
    </row>
    <row r="278" spans="1:12" ht="50.1" customHeight="1" x14ac:dyDescent="0.25">
      <c r="A278" s="3" t="s">
        <v>846</v>
      </c>
      <c r="B278" s="2" t="s">
        <v>847</v>
      </c>
      <c r="C278" s="2"/>
      <c r="D278" s="2" t="s">
        <v>41</v>
      </c>
      <c r="E278" s="4" t="str">
        <f>IF(ISERROR("VMT_MILE17"),"",HYPERLINK("#INDEX('Value Lookup'!A:A,MATCH(A" &amp; ROW() &amp; ",'Value Lookup'!A:A,0))","Value Lookup"))</f>
        <v>Value Lookup</v>
      </c>
      <c r="F278" s="4" t="str">
        <f>IF(ISERROR("VMT_MILE17"),"",HYPERLINK("#INDEX('Frequencies'!A:A,MATCH(A" &amp; ROW() &amp; ",'Frequencies'!A:A,0))","Frequencies"))</f>
        <v>Frequencies</v>
      </c>
      <c r="G278" s="2"/>
      <c r="H278" s="2"/>
      <c r="I278" s="2"/>
      <c r="J278" s="2">
        <v>50</v>
      </c>
      <c r="K278" s="2"/>
      <c r="L278" s="2"/>
    </row>
    <row r="279" spans="1:12" ht="50.1" customHeight="1" x14ac:dyDescent="0.25">
      <c r="A279" s="3" t="s">
        <v>162</v>
      </c>
      <c r="B279" s="2" t="s">
        <v>163</v>
      </c>
      <c r="C279" s="2"/>
      <c r="D279" s="2" t="s">
        <v>15</v>
      </c>
      <c r="E279" s="4" t="str">
        <f>IF(ISERROR("DRVR_FLG"),"",HYPERLINK("#INDEX('Value Lookup'!A:A,MATCH(A" &amp; ROW() &amp; ",'Value Lookup'!A:A,0))","Value Lookup"))</f>
        <v>Value Lookup</v>
      </c>
      <c r="F279" s="4" t="str">
        <f>IF(ISERROR("DRVR_FLG"),"",HYPERLINK("#INDEX('Frequencies'!A:A,MATCH(A" &amp; ROW() &amp; ",'Frequencies'!A:A,0))","Frequencies"))</f>
        <v>Frequencies</v>
      </c>
      <c r="G279" s="2"/>
      <c r="H279" s="2"/>
      <c r="I279" s="2"/>
      <c r="J279" s="2">
        <v>51</v>
      </c>
      <c r="K279" s="2"/>
      <c r="L279" s="2"/>
    </row>
    <row r="280" spans="1:12" ht="50.1" customHeight="1" x14ac:dyDescent="0.25">
      <c r="A280" s="3" t="s">
        <v>904</v>
      </c>
      <c r="B280" s="2" t="s">
        <v>905</v>
      </c>
      <c r="C280" s="2"/>
      <c r="D280" s="2" t="s">
        <v>15</v>
      </c>
      <c r="E280" s="4" t="str">
        <f>IF(ISERROR("WHYTRP1S"),"",HYPERLINK("#INDEX('Value Lookup'!A:A,MATCH(A" &amp; ROW() &amp; ",'Value Lookup'!A:A,0))","Value Lookup"))</f>
        <v>Value Lookup</v>
      </c>
      <c r="F280" s="4" t="str">
        <f>IF(ISERROR("WHYTRP1S"),"",HYPERLINK("#INDEX('Frequencies'!A:A,MATCH(A" &amp; ROW() &amp; ",'Frequencies'!A:A,0))","Frequencies"))</f>
        <v>Frequencies</v>
      </c>
      <c r="G280" s="2"/>
      <c r="H280" s="2"/>
      <c r="I280" s="2"/>
      <c r="J280" s="2">
        <v>52</v>
      </c>
      <c r="K280" s="2"/>
      <c r="L280" s="2"/>
    </row>
    <row r="281" spans="1:12" ht="50.1" customHeight="1" x14ac:dyDescent="0.25">
      <c r="A281" s="3" t="s">
        <v>906</v>
      </c>
      <c r="B281" s="2" t="s">
        <v>907</v>
      </c>
      <c r="C281" s="2"/>
      <c r="D281" s="2" t="s">
        <v>15</v>
      </c>
      <c r="E281" s="4" t="str">
        <f>IF(ISERROR("WHYTRP90"),"",HYPERLINK("#INDEX('Value Lookup'!A:A,MATCH(A" &amp; ROW() &amp; ",'Value Lookup'!A:A,0))","Value Lookup"))</f>
        <v>Value Lookup</v>
      </c>
      <c r="F281" s="4" t="str">
        <f>IF(ISERROR("WHYTRP90"),"",HYPERLINK("#INDEX('Frequencies'!A:A,MATCH(A" &amp; ROW() &amp; ",'Frequencies'!A:A,0))","Frequencies"))</f>
        <v>Frequencies</v>
      </c>
      <c r="G281" s="2"/>
      <c r="H281" s="2"/>
      <c r="I281" s="2"/>
      <c r="J281" s="2">
        <v>53</v>
      </c>
      <c r="K281" s="2"/>
      <c r="L281" s="2"/>
    </row>
    <row r="282" spans="1:12" ht="50.1" customHeight="1" x14ac:dyDescent="0.25">
      <c r="A282" s="3" t="s">
        <v>662</v>
      </c>
      <c r="B282" s="2" t="s">
        <v>663</v>
      </c>
      <c r="C282" s="2" t="s">
        <v>664</v>
      </c>
      <c r="D282" s="2" t="s">
        <v>15</v>
      </c>
      <c r="E282" s="4" t="str">
        <f>IF(ISERROR("TRACC1"),"",HYPERLINK("#INDEX('Value Lookup'!A:A,MATCH(A" &amp; ROW() &amp; ",'Value Lookup'!A:A,0))","Value Lookup"))</f>
        <v>Value Lookup</v>
      </c>
      <c r="F282" s="4" t="str">
        <f>IF(ISERROR("TRACC1"),"",HYPERLINK("#INDEX('Frequencies'!A:A,MATCH(A" &amp; ROW() &amp; ",'Frequencies'!A:A,0))","Frequencies"))</f>
        <v>Frequencies</v>
      </c>
      <c r="G282" s="2"/>
      <c r="H282" s="2"/>
      <c r="I282" s="2"/>
      <c r="J282" s="2">
        <v>54</v>
      </c>
      <c r="K282" s="2"/>
      <c r="L282" s="2"/>
    </row>
    <row r="283" spans="1:12" ht="50.1" customHeight="1" x14ac:dyDescent="0.25">
      <c r="A283" s="3" t="s">
        <v>685</v>
      </c>
      <c r="B283" s="2" t="s">
        <v>686</v>
      </c>
      <c r="C283" s="2" t="s">
        <v>664</v>
      </c>
      <c r="D283" s="2" t="s">
        <v>15</v>
      </c>
      <c r="E283" s="4" t="str">
        <f>IF(ISERROR("TRACC2"),"",HYPERLINK("#INDEX('Value Lookup'!A:A,MATCH(A" &amp; ROW() &amp; ",'Value Lookup'!A:A,0))","Value Lookup"))</f>
        <v>Value Lookup</v>
      </c>
      <c r="F283" s="4" t="str">
        <f>IF(ISERROR("TRACC2"),"",HYPERLINK("#INDEX('Frequencies'!A:A,MATCH(A" &amp; ROW() &amp; ",'Frequencies'!A:A,0))","Frequencies"))</f>
        <v>Frequencies</v>
      </c>
      <c r="G283" s="2"/>
      <c r="H283" s="2"/>
      <c r="I283" s="2"/>
      <c r="J283" s="2">
        <v>55</v>
      </c>
      <c r="K283" s="2"/>
      <c r="L283" s="2"/>
    </row>
    <row r="284" spans="1:12" ht="50.1" customHeight="1" x14ac:dyDescent="0.25">
      <c r="A284" s="3" t="s">
        <v>689</v>
      </c>
      <c r="B284" s="2" t="s">
        <v>690</v>
      </c>
      <c r="C284" s="2" t="s">
        <v>664</v>
      </c>
      <c r="D284" s="2" t="s">
        <v>15</v>
      </c>
      <c r="E284" s="4" t="str">
        <f>IF(ISERROR("TRACC3"),"",HYPERLINK("#INDEX('Value Lookup'!A:A,MATCH(A" &amp; ROW() &amp; ",'Value Lookup'!A:A,0))","Value Lookup"))</f>
        <v>Value Lookup</v>
      </c>
      <c r="F284" s="4" t="str">
        <f>IF(ISERROR("TRACC3"),"",HYPERLINK("#INDEX('Frequencies'!A:A,MATCH(A" &amp; ROW() &amp; ",'Frequencies'!A:A,0))","Frequencies"))</f>
        <v>Frequencies</v>
      </c>
      <c r="G284" s="2"/>
      <c r="H284" s="2"/>
      <c r="I284" s="2"/>
      <c r="J284" s="2">
        <v>56</v>
      </c>
      <c r="K284" s="2"/>
      <c r="L284" s="2"/>
    </row>
    <row r="285" spans="1:12" ht="50.1" customHeight="1" x14ac:dyDescent="0.25">
      <c r="A285" s="3" t="s">
        <v>691</v>
      </c>
      <c r="B285" s="2" t="s">
        <v>692</v>
      </c>
      <c r="C285" s="2" t="s">
        <v>664</v>
      </c>
      <c r="D285" s="2" t="s">
        <v>15</v>
      </c>
      <c r="E285" s="4" t="str">
        <f>IF(ISERROR("TRACC4"),"",HYPERLINK("#INDEX('Value Lookup'!A:A,MATCH(A" &amp; ROW() &amp; ",'Value Lookup'!A:A,0))","Value Lookup"))</f>
        <v>Value Lookup</v>
      </c>
      <c r="F285" s="4" t="str">
        <f>IF(ISERROR("TRACC4"),"",HYPERLINK("#INDEX('Frequencies'!A:A,MATCH(A" &amp; ROW() &amp; ",'Frequencies'!A:A,0))","Frequencies"))</f>
        <v>Frequencies</v>
      </c>
      <c r="G285" s="2"/>
      <c r="H285" s="2"/>
      <c r="I285" s="2"/>
      <c r="J285" s="2">
        <v>57</v>
      </c>
      <c r="K285" s="2"/>
      <c r="L285" s="2"/>
    </row>
    <row r="286" spans="1:12" ht="50.1" customHeight="1" x14ac:dyDescent="0.25">
      <c r="A286" s="3" t="s">
        <v>693</v>
      </c>
      <c r="B286" s="2" t="s">
        <v>694</v>
      </c>
      <c r="C286" s="2" t="s">
        <v>664</v>
      </c>
      <c r="D286" s="2" t="s">
        <v>15</v>
      </c>
      <c r="E286" s="4" t="str">
        <f>IF(ISERROR("TRACC5"),"",HYPERLINK("#INDEX('Value Lookup'!A:A,MATCH(A" &amp; ROW() &amp; ",'Value Lookup'!A:A,0))","Value Lookup"))</f>
        <v>Value Lookup</v>
      </c>
      <c r="F286" s="4" t="str">
        <f>IF(ISERROR("TRACC5"),"",HYPERLINK("#INDEX('Frequencies'!A:A,MATCH(A" &amp; ROW() &amp; ",'Frequencies'!A:A,0))","Frequencies"))</f>
        <v>Frequencies</v>
      </c>
      <c r="G286" s="2"/>
      <c r="H286" s="2"/>
      <c r="I286" s="2"/>
      <c r="J286" s="2">
        <v>58</v>
      </c>
      <c r="K286" s="2"/>
      <c r="L286" s="2"/>
    </row>
    <row r="287" spans="1:12" ht="50.1" customHeight="1" x14ac:dyDescent="0.25">
      <c r="A287" s="3" t="s">
        <v>695</v>
      </c>
      <c r="B287" s="2" t="s">
        <v>696</v>
      </c>
      <c r="C287" s="2" t="s">
        <v>664</v>
      </c>
      <c r="D287" s="2" t="s">
        <v>15</v>
      </c>
      <c r="E287" s="4" t="str">
        <f>IF(ISERROR("TRACC6"),"",HYPERLINK("#INDEX('Value Lookup'!A:A,MATCH(A" &amp; ROW() &amp; ",'Value Lookup'!A:A,0))","Value Lookup"))</f>
        <v>Value Lookup</v>
      </c>
      <c r="F287" s="4" t="str">
        <f>IF(ISERROR("TRACC6"),"",HYPERLINK("#INDEX('Frequencies'!A:A,MATCH(A" &amp; ROW() &amp; ",'Frequencies'!A:A,0))","Frequencies"))</f>
        <v>Frequencies</v>
      </c>
      <c r="G287" s="2"/>
      <c r="H287" s="2"/>
      <c r="I287" s="2"/>
      <c r="J287" s="2">
        <v>59</v>
      </c>
      <c r="K287" s="2"/>
      <c r="L287" s="2"/>
    </row>
    <row r="288" spans="1:12" ht="50.1" customHeight="1" x14ac:dyDescent="0.25">
      <c r="A288" s="3" t="s">
        <v>697</v>
      </c>
      <c r="B288" s="2" t="s">
        <v>698</v>
      </c>
      <c r="C288" s="2" t="s">
        <v>664</v>
      </c>
      <c r="D288" s="2" t="s">
        <v>15</v>
      </c>
      <c r="E288" s="4" t="str">
        <f>IF(ISERROR("TRACC7"),"",HYPERLINK("#INDEX('Value Lookup'!A:A,MATCH(A" &amp; ROW() &amp; ",'Value Lookup'!A:A,0))","Value Lookup"))</f>
        <v>Value Lookup</v>
      </c>
      <c r="F288" s="4" t="str">
        <f>IF(ISERROR("TRACC7"),"",HYPERLINK("#INDEX('Frequencies'!A:A,MATCH(A" &amp; ROW() &amp; ",'Frequencies'!A:A,0))","Frequencies"))</f>
        <v>Frequencies</v>
      </c>
      <c r="G288" s="2"/>
      <c r="H288" s="2"/>
      <c r="I288" s="2"/>
      <c r="J288" s="2">
        <v>60</v>
      </c>
      <c r="K288" s="2"/>
      <c r="L288" s="2"/>
    </row>
    <row r="289" spans="1:12" ht="50.1" customHeight="1" x14ac:dyDescent="0.25">
      <c r="A289" s="3" t="s">
        <v>699</v>
      </c>
      <c r="B289" s="2" t="s">
        <v>700</v>
      </c>
      <c r="C289" s="2" t="s">
        <v>664</v>
      </c>
      <c r="D289" s="2" t="s">
        <v>15</v>
      </c>
      <c r="E289" s="4" t="str">
        <f>IF(ISERROR("TRACC8"),"",HYPERLINK("#INDEX('Value Lookup'!A:A,MATCH(A" &amp; ROW() &amp; ",'Value Lookup'!A:A,0))","Value Lookup"))</f>
        <v>Value Lookup</v>
      </c>
      <c r="F289" s="4" t="str">
        <f>IF(ISERROR("TRACC8"),"",HYPERLINK("#INDEX('Frequencies'!A:A,MATCH(A" &amp; ROW() &amp; ",'Frequencies'!A:A,0))","Frequencies"))</f>
        <v>Frequencies</v>
      </c>
      <c r="G289" s="2"/>
      <c r="H289" s="2"/>
      <c r="I289" s="2"/>
      <c r="J289" s="2">
        <v>61</v>
      </c>
      <c r="K289" s="2"/>
      <c r="L289" s="2"/>
    </row>
    <row r="290" spans="1:12" ht="50.1" customHeight="1" x14ac:dyDescent="0.25">
      <c r="A290" s="3" t="s">
        <v>701</v>
      </c>
      <c r="B290" s="2" t="s">
        <v>702</v>
      </c>
      <c r="C290" s="2" t="s">
        <v>664</v>
      </c>
      <c r="D290" s="2" t="s">
        <v>15</v>
      </c>
      <c r="E290" s="4" t="str">
        <f>IF(ISERROR("TRACC9"),"",HYPERLINK("#INDEX('Value Lookup'!A:A,MATCH(A" &amp; ROW() &amp; ",'Value Lookup'!A:A,0))","Value Lookup"))</f>
        <v>Value Lookup</v>
      </c>
      <c r="F290" s="4" t="str">
        <f>IF(ISERROR("TRACC9"),"",HYPERLINK("#INDEX('Frequencies'!A:A,MATCH(A" &amp; ROW() &amp; ",'Frequencies'!A:A,0))","Frequencies"))</f>
        <v>Frequencies</v>
      </c>
      <c r="G290" s="2"/>
      <c r="H290" s="2"/>
      <c r="I290" s="2"/>
      <c r="J290" s="2">
        <v>62</v>
      </c>
      <c r="K290" s="2"/>
      <c r="L290" s="2"/>
    </row>
    <row r="291" spans="1:12" ht="50.1" customHeight="1" x14ac:dyDescent="0.25">
      <c r="A291" s="3" t="s">
        <v>665</v>
      </c>
      <c r="B291" s="2" t="s">
        <v>666</v>
      </c>
      <c r="C291" s="2" t="s">
        <v>664</v>
      </c>
      <c r="D291" s="2" t="s">
        <v>15</v>
      </c>
      <c r="E291" s="4" t="str">
        <f>IF(ISERROR("TRACC10"),"",HYPERLINK("#INDEX('Value Lookup'!A:A,MATCH(A" &amp; ROW() &amp; ",'Value Lookup'!A:A,0))","Value Lookup"))</f>
        <v>Value Lookup</v>
      </c>
      <c r="F291" s="4" t="str">
        <f>IF(ISERROR("TRACC10"),"",HYPERLINK("#INDEX('Frequencies'!A:A,MATCH(A" &amp; ROW() &amp; ",'Frequencies'!A:A,0))","Frequencies"))</f>
        <v>Frequencies</v>
      </c>
      <c r="G291" s="2"/>
      <c r="H291" s="2"/>
      <c r="I291" s="2"/>
      <c r="J291" s="2">
        <v>63</v>
      </c>
      <c r="K291" s="2"/>
      <c r="L291" s="2"/>
    </row>
    <row r="292" spans="1:12" ht="50.1" customHeight="1" x14ac:dyDescent="0.25">
      <c r="A292" s="3" t="s">
        <v>667</v>
      </c>
      <c r="B292" s="2" t="s">
        <v>668</v>
      </c>
      <c r="C292" s="2" t="s">
        <v>664</v>
      </c>
      <c r="D292" s="2" t="s">
        <v>15</v>
      </c>
      <c r="E292" s="4" t="str">
        <f>IF(ISERROR("TRACC11"),"",HYPERLINK("#INDEX('Value Lookup'!A:A,MATCH(A" &amp; ROW() &amp; ",'Value Lookup'!A:A,0))","Value Lookup"))</f>
        <v>Value Lookup</v>
      </c>
      <c r="F292" s="4" t="str">
        <f>IF(ISERROR("TRACC11"),"",HYPERLINK("#INDEX('Frequencies'!A:A,MATCH(A" &amp; ROW() &amp; ",'Frequencies'!A:A,0))","Frequencies"))</f>
        <v>Frequencies</v>
      </c>
      <c r="G292" s="2"/>
      <c r="H292" s="2"/>
      <c r="I292" s="2"/>
      <c r="J292" s="2">
        <v>64</v>
      </c>
      <c r="K292" s="2"/>
      <c r="L292" s="2"/>
    </row>
    <row r="293" spans="1:12" ht="50.1" customHeight="1" x14ac:dyDescent="0.25">
      <c r="A293" s="3" t="s">
        <v>669</v>
      </c>
      <c r="B293" s="2" t="s">
        <v>670</v>
      </c>
      <c r="C293" s="2" t="s">
        <v>664</v>
      </c>
      <c r="D293" s="2" t="s">
        <v>15</v>
      </c>
      <c r="E293" s="4" t="str">
        <f>IF(ISERROR("TRACC12"),"",HYPERLINK("#INDEX('Value Lookup'!A:A,MATCH(A" &amp; ROW() &amp; ",'Value Lookup'!A:A,0))","Value Lookup"))</f>
        <v>Value Lookup</v>
      </c>
      <c r="F293" s="4" t="str">
        <f>IF(ISERROR("TRACC12"),"",HYPERLINK("#INDEX('Frequencies'!A:A,MATCH(A" &amp; ROW() &amp; ",'Frequencies'!A:A,0))","Frequencies"))</f>
        <v>Frequencies</v>
      </c>
      <c r="G293" s="2"/>
      <c r="H293" s="2"/>
      <c r="I293" s="2"/>
      <c r="J293" s="2">
        <v>65</v>
      </c>
      <c r="K293" s="2"/>
      <c r="L293" s="2"/>
    </row>
    <row r="294" spans="1:12" ht="50.1" customHeight="1" x14ac:dyDescent="0.25">
      <c r="A294" s="3" t="s">
        <v>671</v>
      </c>
      <c r="B294" s="2" t="s">
        <v>672</v>
      </c>
      <c r="C294" s="2" t="s">
        <v>664</v>
      </c>
      <c r="D294" s="2" t="s">
        <v>15</v>
      </c>
      <c r="E294" s="4" t="str">
        <f>IF(ISERROR("TRACC13"),"",HYPERLINK("#INDEX('Value Lookup'!A:A,MATCH(A" &amp; ROW() &amp; ",'Value Lookup'!A:A,0))","Value Lookup"))</f>
        <v>Value Lookup</v>
      </c>
      <c r="F294" s="4" t="str">
        <f>IF(ISERROR("TRACC13"),"",HYPERLINK("#INDEX('Frequencies'!A:A,MATCH(A" &amp; ROW() &amp; ",'Frequencies'!A:A,0))","Frequencies"))</f>
        <v>Frequencies</v>
      </c>
      <c r="G294" s="2"/>
      <c r="H294" s="2"/>
      <c r="I294" s="2"/>
      <c r="J294" s="2">
        <v>66</v>
      </c>
      <c r="K294" s="2"/>
      <c r="L294" s="2"/>
    </row>
    <row r="295" spans="1:12" ht="50.1" customHeight="1" x14ac:dyDescent="0.25">
      <c r="A295" s="3" t="s">
        <v>673</v>
      </c>
      <c r="B295" s="2" t="s">
        <v>674</v>
      </c>
      <c r="C295" s="2" t="s">
        <v>664</v>
      </c>
      <c r="D295" s="2" t="s">
        <v>15</v>
      </c>
      <c r="E295" s="4" t="str">
        <f>IF(ISERROR("TRACC14"),"",HYPERLINK("#INDEX('Value Lookup'!A:A,MATCH(A" &amp; ROW() &amp; ",'Value Lookup'!A:A,0))","Value Lookup"))</f>
        <v>Value Lookup</v>
      </c>
      <c r="F295" s="4" t="str">
        <f>IF(ISERROR("TRACC14"),"",HYPERLINK("#INDEX('Frequencies'!A:A,MATCH(A" &amp; ROW() &amp; ",'Frequencies'!A:A,0))","Frequencies"))</f>
        <v>Frequencies</v>
      </c>
      <c r="G295" s="2"/>
      <c r="H295" s="2"/>
      <c r="I295" s="2"/>
      <c r="J295" s="2">
        <v>67</v>
      </c>
      <c r="K295" s="2"/>
      <c r="L295" s="2"/>
    </row>
    <row r="296" spans="1:12" ht="50.1" customHeight="1" x14ac:dyDescent="0.25">
      <c r="A296" s="3" t="s">
        <v>675</v>
      </c>
      <c r="B296" s="2" t="s">
        <v>676</v>
      </c>
      <c r="C296" s="2" t="s">
        <v>664</v>
      </c>
      <c r="D296" s="2" t="s">
        <v>15</v>
      </c>
      <c r="E296" s="4" t="str">
        <f>IF(ISERROR("TRACC15"),"",HYPERLINK("#INDEX('Value Lookup'!A:A,MATCH(A" &amp; ROW() &amp; ",'Value Lookup'!A:A,0))","Value Lookup"))</f>
        <v>Value Lookup</v>
      </c>
      <c r="F296" s="4" t="str">
        <f>IF(ISERROR("TRACC15"),"",HYPERLINK("#INDEX('Frequencies'!A:A,MATCH(A" &amp; ROW() &amp; ",'Frequencies'!A:A,0))","Frequencies"))</f>
        <v>Frequencies</v>
      </c>
      <c r="G296" s="2"/>
      <c r="H296" s="2"/>
      <c r="I296" s="2"/>
      <c r="J296" s="2">
        <v>68</v>
      </c>
      <c r="K296" s="2"/>
      <c r="L296" s="2"/>
    </row>
    <row r="297" spans="1:12" ht="50.1" customHeight="1" x14ac:dyDescent="0.25">
      <c r="A297" s="3" t="s">
        <v>677</v>
      </c>
      <c r="B297" s="2" t="s">
        <v>678</v>
      </c>
      <c r="C297" s="2" t="s">
        <v>664</v>
      </c>
      <c r="D297" s="2" t="s">
        <v>15</v>
      </c>
      <c r="E297" s="4" t="str">
        <f>IF(ISERROR("TRACC16"),"",HYPERLINK("#INDEX('Value Lookup'!A:A,MATCH(A" &amp; ROW() &amp; ",'Value Lookup'!A:A,0))","Value Lookup"))</f>
        <v>Value Lookup</v>
      </c>
      <c r="F297" s="4" t="str">
        <f>IF(ISERROR("TRACC16"),"",HYPERLINK("#INDEX('Frequencies'!A:A,MATCH(A" &amp; ROW() &amp; ",'Frequencies'!A:A,0))","Frequencies"))</f>
        <v>Frequencies</v>
      </c>
      <c r="G297" s="2"/>
      <c r="H297" s="2"/>
      <c r="I297" s="2"/>
      <c r="J297" s="2">
        <v>69</v>
      </c>
      <c r="K297" s="2"/>
      <c r="L297" s="2"/>
    </row>
    <row r="298" spans="1:12" ht="50.1" customHeight="1" x14ac:dyDescent="0.25">
      <c r="A298" s="3" t="s">
        <v>679</v>
      </c>
      <c r="B298" s="2" t="s">
        <v>680</v>
      </c>
      <c r="C298" s="2" t="s">
        <v>664</v>
      </c>
      <c r="D298" s="2" t="s">
        <v>15</v>
      </c>
      <c r="E298" s="4" t="str">
        <f>IF(ISERROR("TRACC17"),"",HYPERLINK("#INDEX('Value Lookup'!A:A,MATCH(A" &amp; ROW() &amp; ",'Value Lookup'!A:A,0))","Value Lookup"))</f>
        <v>Value Lookup</v>
      </c>
      <c r="F298" s="4" t="str">
        <f>IF(ISERROR("TRACC17"),"",HYPERLINK("#INDEX('Frequencies'!A:A,MATCH(A" &amp; ROW() &amp; ",'Frequencies'!A:A,0))","Frequencies"))</f>
        <v>Frequencies</v>
      </c>
      <c r="G298" s="2"/>
      <c r="H298" s="2"/>
      <c r="I298" s="2"/>
      <c r="J298" s="2">
        <v>70</v>
      </c>
      <c r="K298" s="2"/>
      <c r="L298" s="2"/>
    </row>
    <row r="299" spans="1:12" ht="50.1" hidden="1" customHeight="1" x14ac:dyDescent="0.25">
      <c r="A299" s="3" t="s">
        <v>712</v>
      </c>
      <c r="B299" s="2" t="s">
        <v>713</v>
      </c>
      <c r="C299" s="2"/>
      <c r="D299" s="2" t="s">
        <v>15</v>
      </c>
      <c r="E299" s="4" t="str">
        <f>IF(ISERROR("TRACTFIPS"),"",HYPERLINK("#INDEX('Value Lookup'!A:A,MATCH(A" &amp; ROW() &amp; ",'Value Lookup'!A:A,0))","Value Lookup"))</f>
        <v>Value Lookup</v>
      </c>
      <c r="F299" s="4" t="str">
        <f>IF(ISERROR("TRACTFIPS"),"",HYPERLINK("#INDEX('Frequencies'!A:A,MATCH(A" &amp; ROW() &amp; ",'Frequencies'!A:A,0))","Frequencies"))</f>
        <v>Frequencies</v>
      </c>
      <c r="G299" s="2"/>
      <c r="H299" s="2"/>
      <c r="I299" s="2"/>
      <c r="J299" s="2"/>
      <c r="K299" s="2">
        <v>17</v>
      </c>
      <c r="L299" s="2"/>
    </row>
    <row r="300" spans="1:12" ht="50.1" hidden="1" customHeight="1" x14ac:dyDescent="0.25">
      <c r="A300" s="3" t="s">
        <v>218</v>
      </c>
      <c r="B300" s="2" t="s">
        <v>219</v>
      </c>
      <c r="C300" s="2"/>
      <c r="D300" s="2" t="s">
        <v>41</v>
      </c>
      <c r="E300" s="4" t="str">
        <f>IF(ISERROR("HBHTNRNT17"),"",HYPERLINK("#INDEX('Value Lookup'!A:A,MATCH(A" &amp; ROW() &amp; ",'Value Lookup'!A:A,0))","Value Lookup"))</f>
        <v>Value Lookup</v>
      </c>
      <c r="F300" s="4" t="str">
        <f>IF(ISERROR("HBHTNRNT17"),"",HYPERLINK("#INDEX('Frequencies'!A:A,MATCH(A" &amp; ROW() &amp; ",'Frequencies'!A:A,0))","Frequencies"))</f>
        <v>Frequencies</v>
      </c>
      <c r="G300" s="2">
        <v>89</v>
      </c>
      <c r="H300" s="2"/>
      <c r="I300" s="2"/>
      <c r="J300" s="2"/>
      <c r="K300" s="2"/>
      <c r="L300" s="2"/>
    </row>
    <row r="301" spans="1:12" ht="50.1" hidden="1" customHeight="1" x14ac:dyDescent="0.25">
      <c r="A301" s="3" t="s">
        <v>222</v>
      </c>
      <c r="B301" s="2" t="s">
        <v>223</v>
      </c>
      <c r="C301" s="2"/>
      <c r="D301" s="2" t="s">
        <v>41</v>
      </c>
      <c r="E301" s="2" t="str">
        <f>IF(ISERROR("HBPPOPDN17"),"","NA")</f>
        <v>NA</v>
      </c>
      <c r="F301" s="4" t="str">
        <f>IF(ISERROR("HBPPOPDN17"),"",HYPERLINK("#INDEX('Frequencies'!A:A,MATCH(A" &amp; ROW() &amp; ",'Frequencies'!A:A,0))","Frequencies"))</f>
        <v>Frequencies</v>
      </c>
      <c r="G301" s="2">
        <v>90</v>
      </c>
      <c r="H301" s="2"/>
      <c r="I301" s="2"/>
      <c r="J301" s="2"/>
      <c r="K301" s="2"/>
      <c r="L301" s="2"/>
    </row>
    <row r="302" spans="1:12" ht="50.1" customHeight="1" x14ac:dyDescent="0.25">
      <c r="A302" s="3" t="s">
        <v>681</v>
      </c>
      <c r="B302" s="2" t="s">
        <v>682</v>
      </c>
      <c r="C302" s="2" t="s">
        <v>664</v>
      </c>
      <c r="D302" s="2" t="s">
        <v>15</v>
      </c>
      <c r="E302" s="4" t="str">
        <f>IF(ISERROR("TRACC18"),"",HYPERLINK("#INDEX('Value Lookup'!A:A,MATCH(A" &amp; ROW() &amp; ",'Value Lookup'!A:A,0))","Value Lookup"))</f>
        <v>Value Lookup</v>
      </c>
      <c r="F302" s="4" t="str">
        <f>IF(ISERROR("TRACC18"),"",HYPERLINK("#INDEX('Frequencies'!A:A,MATCH(A" &amp; ROW() &amp; ",'Frequencies'!A:A,0))","Frequencies"))</f>
        <v>Frequencies</v>
      </c>
      <c r="G302" s="2"/>
      <c r="H302" s="2"/>
      <c r="I302" s="2"/>
      <c r="J302" s="2">
        <v>71</v>
      </c>
      <c r="K302" s="2"/>
      <c r="L302" s="2"/>
    </row>
    <row r="303" spans="1:12" ht="50.1" customHeight="1" x14ac:dyDescent="0.25">
      <c r="A303" s="3" t="s">
        <v>683</v>
      </c>
      <c r="B303" s="2" t="s">
        <v>684</v>
      </c>
      <c r="C303" s="2" t="s">
        <v>664</v>
      </c>
      <c r="D303" s="2" t="s">
        <v>15</v>
      </c>
      <c r="E303" s="4" t="str">
        <f>IF(ISERROR("TRACC19"),"",HYPERLINK("#INDEX('Value Lookup'!A:A,MATCH(A" &amp; ROW() &amp; ",'Value Lookup'!A:A,0))","Value Lookup"))</f>
        <v>Value Lookup</v>
      </c>
      <c r="F303" s="4" t="str">
        <f>IF(ISERROR("TRACC19"),"",HYPERLINK("#INDEX('Frequencies'!A:A,MATCH(A" &amp; ROW() &amp; ",'Frequencies'!A:A,0))","Frequencies"))</f>
        <v>Frequencies</v>
      </c>
      <c r="G303" s="2"/>
      <c r="H303" s="2"/>
      <c r="I303" s="2"/>
      <c r="J303" s="2">
        <v>72</v>
      </c>
      <c r="K303" s="2"/>
      <c r="L303" s="2"/>
    </row>
    <row r="304" spans="1:12" ht="50.1" customHeight="1" x14ac:dyDescent="0.25">
      <c r="A304" s="3" t="s">
        <v>687</v>
      </c>
      <c r="B304" s="2" t="s">
        <v>688</v>
      </c>
      <c r="C304" s="2" t="s">
        <v>664</v>
      </c>
      <c r="D304" s="2" t="s">
        <v>15</v>
      </c>
      <c r="E304" s="4" t="str">
        <f>IF(ISERROR("TRACC20"),"",HYPERLINK("#INDEX('Value Lookup'!A:A,MATCH(A" &amp; ROW() &amp; ",'Value Lookup'!A:A,0))","Value Lookup"))</f>
        <v>Value Lookup</v>
      </c>
      <c r="F304" s="4" t="str">
        <f>IF(ISERROR("TRACC20"),"",HYPERLINK("#INDEX('Frequencies'!A:A,MATCH(A" &amp; ROW() &amp; ",'Frequencies'!A:A,0))","Frequencies"))</f>
        <v>Frequencies</v>
      </c>
      <c r="G304" s="2"/>
      <c r="H304" s="2"/>
      <c r="I304" s="2"/>
      <c r="J304" s="2">
        <v>73</v>
      </c>
      <c r="K304" s="2"/>
      <c r="L304" s="2"/>
    </row>
    <row r="305" spans="1:12" ht="50.1" customHeight="1" x14ac:dyDescent="0.25">
      <c r="A305" s="3" t="s">
        <v>705</v>
      </c>
      <c r="B305" s="2" t="s">
        <v>706</v>
      </c>
      <c r="C305" s="2" t="s">
        <v>664</v>
      </c>
      <c r="D305" s="2" t="s">
        <v>15</v>
      </c>
      <c r="E305" s="4" t="str">
        <f>IF(ISERROR("TRACC_O"),"",HYPERLINK("#INDEX('Value Lookup'!A:A,MATCH(A" &amp; ROW() &amp; ",'Value Lookup'!A:A,0))","Value Lookup"))</f>
        <v>Value Lookup</v>
      </c>
      <c r="F305" s="4" t="str">
        <f>IF(ISERROR("TRACC_O"),"",HYPERLINK("#INDEX('Frequencies'!A:A,MATCH(A" &amp; ROW() &amp; ",'Frequencies'!A:A,0))","Frequencies"))</f>
        <v>Frequencies</v>
      </c>
      <c r="G305" s="2"/>
      <c r="H305" s="2"/>
      <c r="I305" s="2"/>
      <c r="J305" s="2">
        <v>74</v>
      </c>
      <c r="K305" s="2"/>
      <c r="L305" s="2"/>
    </row>
    <row r="306" spans="1:12" ht="50.1" customHeight="1" x14ac:dyDescent="0.25">
      <c r="A306" s="3" t="s">
        <v>703</v>
      </c>
      <c r="B306" s="2" t="s">
        <v>704</v>
      </c>
      <c r="C306" s="2" t="s">
        <v>664</v>
      </c>
      <c r="D306" s="2" t="s">
        <v>15</v>
      </c>
      <c r="E306" s="4" t="str">
        <f>IF(ISERROR("TRACCDK"),"",HYPERLINK("#INDEX('Value Lookup'!A:A,MATCH(A" &amp; ROW() &amp; ",'Value Lookup'!A:A,0))","Value Lookup"))</f>
        <v>Value Lookup</v>
      </c>
      <c r="F306" s="4" t="str">
        <f>IF(ISERROR("TRACCDK"),"",HYPERLINK("#INDEX('Frequencies'!A:A,MATCH(A" &amp; ROW() &amp; ",'Frequencies'!A:A,0))","Frequencies"))</f>
        <v>Frequencies</v>
      </c>
      <c r="G306" s="2"/>
      <c r="H306" s="2"/>
      <c r="I306" s="2"/>
      <c r="J306" s="2">
        <v>75</v>
      </c>
      <c r="K306" s="2"/>
      <c r="L306" s="2"/>
    </row>
    <row r="307" spans="1:12" ht="50.1" customHeight="1" x14ac:dyDescent="0.25">
      <c r="A307" s="3" t="s">
        <v>707</v>
      </c>
      <c r="B307" s="2" t="s">
        <v>708</v>
      </c>
      <c r="C307" s="2" t="s">
        <v>664</v>
      </c>
      <c r="D307" s="2" t="s">
        <v>15</v>
      </c>
      <c r="E307" s="4" t="str">
        <f>IF(ISERROR("TRACCRF"),"",HYPERLINK("#INDEX('Value Lookup'!A:A,MATCH(A" &amp; ROW() &amp; ",'Value Lookup'!A:A,0))","Value Lookup"))</f>
        <v>Value Lookup</v>
      </c>
      <c r="F307" s="4" t="str">
        <f>IF(ISERROR("TRACCRF"),"",HYPERLINK("#INDEX('Frequencies'!A:A,MATCH(A" &amp; ROW() &amp; ",'Frequencies'!A:A,0))","Frequencies"))</f>
        <v>Frequencies</v>
      </c>
      <c r="G307" s="2"/>
      <c r="H307" s="2"/>
      <c r="I307" s="2"/>
      <c r="J307" s="2">
        <v>76</v>
      </c>
      <c r="K307" s="2"/>
      <c r="L307" s="2"/>
    </row>
    <row r="308" spans="1:12" ht="50.1" customHeight="1" x14ac:dyDescent="0.25">
      <c r="A308" s="3" t="s">
        <v>278</v>
      </c>
      <c r="B308" s="2" t="s">
        <v>279</v>
      </c>
      <c r="C308" s="2" t="s">
        <v>280</v>
      </c>
      <c r="D308" s="2" t="s">
        <v>15</v>
      </c>
      <c r="E308" s="4" t="str">
        <f>IF(ISERROR("HOWPUBOS"),"",HYPERLINK("#INDEX('Value Lookup'!A:A,MATCH(A" &amp; ROW() &amp; ",'Value Lookup'!A:A,0))","Value Lookup"))</f>
        <v>Value Lookup</v>
      </c>
      <c r="F308" s="4" t="str">
        <f>IF(ISERROR("HOWPUBOS"),"",HYPERLINK("#INDEX('Frequencies'!A:A,MATCH(A" &amp; ROW() &amp; ",'Frequencies'!A:A,0))","Frequencies"))</f>
        <v>Frequencies</v>
      </c>
      <c r="G308" s="2"/>
      <c r="H308" s="2"/>
      <c r="I308" s="2"/>
      <c r="J308" s="2">
        <v>77</v>
      </c>
      <c r="K308" s="2"/>
      <c r="L308" s="2"/>
    </row>
    <row r="309" spans="1:12" ht="50.1" customHeight="1" x14ac:dyDescent="0.25">
      <c r="A309" s="3" t="s">
        <v>719</v>
      </c>
      <c r="B309" s="2" t="s">
        <v>720</v>
      </c>
      <c r="C309" s="2" t="s">
        <v>721</v>
      </c>
      <c r="D309" s="2" t="s">
        <v>15</v>
      </c>
      <c r="E309" s="4" t="str">
        <f>IF(ISERROR("TREGR1"),"",HYPERLINK("#INDEX('Value Lookup'!A:A,MATCH(A" &amp; ROW() &amp; ",'Value Lookup'!A:A,0))","Value Lookup"))</f>
        <v>Value Lookup</v>
      </c>
      <c r="F309" s="4" t="str">
        <f>IF(ISERROR("TREGR1"),"",HYPERLINK("#INDEX('Frequencies'!A:A,MATCH(A" &amp; ROW() &amp; ",'Frequencies'!A:A,0))","Frequencies"))</f>
        <v>Frequencies</v>
      </c>
      <c r="G309" s="2"/>
      <c r="H309" s="2"/>
      <c r="I309" s="2"/>
      <c r="J309" s="2">
        <v>78</v>
      </c>
      <c r="K309" s="2"/>
      <c r="L309" s="2"/>
    </row>
    <row r="310" spans="1:12" ht="50.1" customHeight="1" x14ac:dyDescent="0.25">
      <c r="A310" s="3" t="s">
        <v>742</v>
      </c>
      <c r="B310" s="2" t="s">
        <v>743</v>
      </c>
      <c r="C310" s="2" t="s">
        <v>721</v>
      </c>
      <c r="D310" s="2" t="s">
        <v>15</v>
      </c>
      <c r="E310" s="4" t="str">
        <f>IF(ISERROR("TREGR2"),"",HYPERLINK("#INDEX('Value Lookup'!A:A,MATCH(A" &amp; ROW() &amp; ",'Value Lookup'!A:A,0))","Value Lookup"))</f>
        <v>Value Lookup</v>
      </c>
      <c r="F310" s="4" t="str">
        <f>IF(ISERROR("TREGR2"),"",HYPERLINK("#INDEX('Frequencies'!A:A,MATCH(A" &amp; ROW() &amp; ",'Frequencies'!A:A,0))","Frequencies"))</f>
        <v>Frequencies</v>
      </c>
      <c r="G310" s="2"/>
      <c r="H310" s="2"/>
      <c r="I310" s="2"/>
      <c r="J310" s="2">
        <v>79</v>
      </c>
      <c r="K310" s="2"/>
      <c r="L310" s="2"/>
    </row>
    <row r="311" spans="1:12" ht="50.1" customHeight="1" x14ac:dyDescent="0.25">
      <c r="A311" s="3" t="s">
        <v>746</v>
      </c>
      <c r="B311" s="2" t="s">
        <v>747</v>
      </c>
      <c r="C311" s="2" t="s">
        <v>721</v>
      </c>
      <c r="D311" s="2" t="s">
        <v>15</v>
      </c>
      <c r="E311" s="4" t="str">
        <f>IF(ISERROR("TREGR3"),"",HYPERLINK("#INDEX('Value Lookup'!A:A,MATCH(A" &amp; ROW() &amp; ",'Value Lookup'!A:A,0))","Value Lookup"))</f>
        <v>Value Lookup</v>
      </c>
      <c r="F311" s="4" t="str">
        <f>IF(ISERROR("TREGR3"),"",HYPERLINK("#INDEX('Frequencies'!A:A,MATCH(A" &amp; ROW() &amp; ",'Frequencies'!A:A,0))","Frequencies"))</f>
        <v>Frequencies</v>
      </c>
      <c r="G311" s="2"/>
      <c r="H311" s="2"/>
      <c r="I311" s="2"/>
      <c r="J311" s="2">
        <v>80</v>
      </c>
      <c r="K311" s="2"/>
      <c r="L311" s="2"/>
    </row>
    <row r="312" spans="1:12" ht="50.1" customHeight="1" x14ac:dyDescent="0.25">
      <c r="A312" s="3" t="s">
        <v>748</v>
      </c>
      <c r="B312" s="2" t="s">
        <v>749</v>
      </c>
      <c r="C312" s="2" t="s">
        <v>721</v>
      </c>
      <c r="D312" s="2" t="s">
        <v>15</v>
      </c>
      <c r="E312" s="4" t="str">
        <f>IF(ISERROR("TREGR4"),"",HYPERLINK("#INDEX('Value Lookup'!A:A,MATCH(A" &amp; ROW() &amp; ",'Value Lookup'!A:A,0))","Value Lookup"))</f>
        <v>Value Lookup</v>
      </c>
      <c r="F312" s="4" t="str">
        <f>IF(ISERROR("TREGR4"),"",HYPERLINK("#INDEX('Frequencies'!A:A,MATCH(A" &amp; ROW() &amp; ",'Frequencies'!A:A,0))","Frequencies"))</f>
        <v>Frequencies</v>
      </c>
      <c r="G312" s="2"/>
      <c r="H312" s="2"/>
      <c r="I312" s="2"/>
      <c r="J312" s="2">
        <v>81</v>
      </c>
      <c r="K312" s="2"/>
      <c r="L312" s="2"/>
    </row>
    <row r="313" spans="1:12" ht="50.1" customHeight="1" x14ac:dyDescent="0.25">
      <c r="A313" s="3" t="s">
        <v>750</v>
      </c>
      <c r="B313" s="2" t="s">
        <v>751</v>
      </c>
      <c r="C313" s="2" t="s">
        <v>721</v>
      </c>
      <c r="D313" s="2" t="s">
        <v>15</v>
      </c>
      <c r="E313" s="4" t="str">
        <f>IF(ISERROR("TREGR5"),"",HYPERLINK("#INDEX('Value Lookup'!A:A,MATCH(A" &amp; ROW() &amp; ",'Value Lookup'!A:A,0))","Value Lookup"))</f>
        <v>Value Lookup</v>
      </c>
      <c r="F313" s="4" t="str">
        <f>IF(ISERROR("TREGR5"),"",HYPERLINK("#INDEX('Frequencies'!A:A,MATCH(A" &amp; ROW() &amp; ",'Frequencies'!A:A,0))","Frequencies"))</f>
        <v>Frequencies</v>
      </c>
      <c r="G313" s="2"/>
      <c r="H313" s="2"/>
      <c r="I313" s="2"/>
      <c r="J313" s="2">
        <v>82</v>
      </c>
      <c r="K313" s="2"/>
      <c r="L313" s="2"/>
    </row>
    <row r="314" spans="1:12" ht="50.1" customHeight="1" x14ac:dyDescent="0.25">
      <c r="A314" s="3" t="s">
        <v>752</v>
      </c>
      <c r="B314" s="2" t="s">
        <v>753</v>
      </c>
      <c r="C314" s="2" t="s">
        <v>721</v>
      </c>
      <c r="D314" s="2" t="s">
        <v>15</v>
      </c>
      <c r="E314" s="4" t="str">
        <f>IF(ISERROR("TREGR6"),"",HYPERLINK("#INDEX('Value Lookup'!A:A,MATCH(A" &amp; ROW() &amp; ",'Value Lookup'!A:A,0))","Value Lookup"))</f>
        <v>Value Lookup</v>
      </c>
      <c r="F314" s="4" t="str">
        <f>IF(ISERROR("TREGR6"),"",HYPERLINK("#INDEX('Frequencies'!A:A,MATCH(A" &amp; ROW() &amp; ",'Frequencies'!A:A,0))","Frequencies"))</f>
        <v>Frequencies</v>
      </c>
      <c r="G314" s="2"/>
      <c r="H314" s="2"/>
      <c r="I314" s="2"/>
      <c r="J314" s="2">
        <v>83</v>
      </c>
      <c r="K314" s="2"/>
      <c r="L314" s="2"/>
    </row>
    <row r="315" spans="1:12" ht="50.1" customHeight="1" x14ac:dyDescent="0.25">
      <c r="A315" s="3" t="s">
        <v>754</v>
      </c>
      <c r="B315" s="2" t="s">
        <v>755</v>
      </c>
      <c r="C315" s="2" t="s">
        <v>721</v>
      </c>
      <c r="D315" s="2" t="s">
        <v>15</v>
      </c>
      <c r="E315" s="4" t="str">
        <f>IF(ISERROR("TREGR7"),"",HYPERLINK("#INDEX('Value Lookup'!A:A,MATCH(A" &amp; ROW() &amp; ",'Value Lookup'!A:A,0))","Value Lookup"))</f>
        <v>Value Lookup</v>
      </c>
      <c r="F315" s="4" t="str">
        <f>IF(ISERROR("TREGR7"),"",HYPERLINK("#INDEX('Frequencies'!A:A,MATCH(A" &amp; ROW() &amp; ",'Frequencies'!A:A,0))","Frequencies"))</f>
        <v>Frequencies</v>
      </c>
      <c r="G315" s="2"/>
      <c r="H315" s="2"/>
      <c r="I315" s="2"/>
      <c r="J315" s="2">
        <v>84</v>
      </c>
      <c r="K315" s="2"/>
      <c r="L315" s="2"/>
    </row>
    <row r="316" spans="1:12" ht="50.1" customHeight="1" x14ac:dyDescent="0.25">
      <c r="A316" s="3" t="s">
        <v>756</v>
      </c>
      <c r="B316" s="2" t="s">
        <v>757</v>
      </c>
      <c r="C316" s="2" t="s">
        <v>721</v>
      </c>
      <c r="D316" s="2" t="s">
        <v>15</v>
      </c>
      <c r="E316" s="4" t="str">
        <f>IF(ISERROR("TREGR8"),"",HYPERLINK("#INDEX('Value Lookup'!A:A,MATCH(A" &amp; ROW() &amp; ",'Value Lookup'!A:A,0))","Value Lookup"))</f>
        <v>Value Lookup</v>
      </c>
      <c r="F316" s="4" t="str">
        <f>IF(ISERROR("TREGR8"),"",HYPERLINK("#INDEX('Frequencies'!A:A,MATCH(A" &amp; ROW() &amp; ",'Frequencies'!A:A,0))","Frequencies"))</f>
        <v>Frequencies</v>
      </c>
      <c r="G316" s="2"/>
      <c r="H316" s="2"/>
      <c r="I316" s="2"/>
      <c r="J316" s="2">
        <v>85</v>
      </c>
      <c r="K316" s="2"/>
      <c r="L316" s="2"/>
    </row>
    <row r="317" spans="1:12" ht="50.1" customHeight="1" x14ac:dyDescent="0.25">
      <c r="A317" s="3" t="s">
        <v>758</v>
      </c>
      <c r="B317" s="2" t="s">
        <v>759</v>
      </c>
      <c r="C317" s="2" t="s">
        <v>721</v>
      </c>
      <c r="D317" s="2" t="s">
        <v>15</v>
      </c>
      <c r="E317" s="4" t="str">
        <f>IF(ISERROR("TREGR9"),"",HYPERLINK("#INDEX('Value Lookup'!A:A,MATCH(A" &amp; ROW() &amp; ",'Value Lookup'!A:A,0))","Value Lookup"))</f>
        <v>Value Lookup</v>
      </c>
      <c r="F317" s="4" t="str">
        <f>IF(ISERROR("TREGR9"),"",HYPERLINK("#INDEX('Frequencies'!A:A,MATCH(A" &amp; ROW() &amp; ",'Frequencies'!A:A,0))","Frequencies"))</f>
        <v>Frequencies</v>
      </c>
      <c r="G317" s="2"/>
      <c r="H317" s="2"/>
      <c r="I317" s="2"/>
      <c r="J317" s="2">
        <v>86</v>
      </c>
      <c r="K317" s="2"/>
      <c r="L317" s="2"/>
    </row>
    <row r="318" spans="1:12" ht="50.1" customHeight="1" x14ac:dyDescent="0.25">
      <c r="A318" s="3" t="s">
        <v>722</v>
      </c>
      <c r="B318" s="2" t="s">
        <v>723</v>
      </c>
      <c r="C318" s="2" t="s">
        <v>721</v>
      </c>
      <c r="D318" s="2" t="s">
        <v>15</v>
      </c>
      <c r="E318" s="4" t="str">
        <f>IF(ISERROR("TREGR10"),"",HYPERLINK("#INDEX('Value Lookup'!A:A,MATCH(A" &amp; ROW() &amp; ",'Value Lookup'!A:A,0))","Value Lookup"))</f>
        <v>Value Lookup</v>
      </c>
      <c r="F318" s="4" t="str">
        <f>IF(ISERROR("TREGR10"),"",HYPERLINK("#INDEX('Frequencies'!A:A,MATCH(A" &amp; ROW() &amp; ",'Frequencies'!A:A,0))","Frequencies"))</f>
        <v>Frequencies</v>
      </c>
      <c r="G318" s="2"/>
      <c r="H318" s="2"/>
      <c r="I318" s="2"/>
      <c r="J318" s="2">
        <v>87</v>
      </c>
      <c r="K318" s="2"/>
      <c r="L318" s="2"/>
    </row>
    <row r="319" spans="1:12" ht="50.1" customHeight="1" x14ac:dyDescent="0.25">
      <c r="A319" s="3" t="s">
        <v>724</v>
      </c>
      <c r="B319" s="2" t="s">
        <v>725</v>
      </c>
      <c r="C319" s="2" t="s">
        <v>721</v>
      </c>
      <c r="D319" s="2" t="s">
        <v>15</v>
      </c>
      <c r="E319" s="4" t="str">
        <f>IF(ISERROR("TREGR11"),"",HYPERLINK("#INDEX('Value Lookup'!A:A,MATCH(A" &amp; ROW() &amp; ",'Value Lookup'!A:A,0))","Value Lookup"))</f>
        <v>Value Lookup</v>
      </c>
      <c r="F319" s="4" t="str">
        <f>IF(ISERROR("TREGR11"),"",HYPERLINK("#INDEX('Frequencies'!A:A,MATCH(A" &amp; ROW() &amp; ",'Frequencies'!A:A,0))","Frequencies"))</f>
        <v>Frequencies</v>
      </c>
      <c r="G319" s="2"/>
      <c r="H319" s="2"/>
      <c r="I319" s="2"/>
      <c r="J319" s="2">
        <v>88</v>
      </c>
      <c r="K319" s="2"/>
      <c r="L319" s="2"/>
    </row>
    <row r="320" spans="1:12" ht="50.1" customHeight="1" x14ac:dyDescent="0.25">
      <c r="A320" s="3" t="s">
        <v>726</v>
      </c>
      <c r="B320" s="2" t="s">
        <v>727</v>
      </c>
      <c r="C320" s="2" t="s">
        <v>721</v>
      </c>
      <c r="D320" s="2" t="s">
        <v>15</v>
      </c>
      <c r="E320" s="4" t="str">
        <f>IF(ISERROR("TREGR12"),"",HYPERLINK("#INDEX('Value Lookup'!A:A,MATCH(A" &amp; ROW() &amp; ",'Value Lookup'!A:A,0))","Value Lookup"))</f>
        <v>Value Lookup</v>
      </c>
      <c r="F320" s="4" t="str">
        <f>IF(ISERROR("TREGR12"),"",HYPERLINK("#INDEX('Frequencies'!A:A,MATCH(A" &amp; ROW() &amp; ",'Frequencies'!A:A,0))","Frequencies"))</f>
        <v>Frequencies</v>
      </c>
      <c r="G320" s="2"/>
      <c r="H320" s="2"/>
      <c r="I320" s="2"/>
      <c r="J320" s="2">
        <v>89</v>
      </c>
      <c r="K320" s="2"/>
      <c r="L320" s="2"/>
    </row>
    <row r="321" spans="1:12" ht="50.1" customHeight="1" x14ac:dyDescent="0.25">
      <c r="A321" s="3" t="s">
        <v>728</v>
      </c>
      <c r="B321" s="2" t="s">
        <v>729</v>
      </c>
      <c r="C321" s="2" t="s">
        <v>721</v>
      </c>
      <c r="D321" s="2" t="s">
        <v>15</v>
      </c>
      <c r="E321" s="4" t="str">
        <f>IF(ISERROR("TREGR13"),"",HYPERLINK("#INDEX('Value Lookup'!A:A,MATCH(A" &amp; ROW() &amp; ",'Value Lookup'!A:A,0))","Value Lookup"))</f>
        <v>Value Lookup</v>
      </c>
      <c r="F321" s="4" t="str">
        <f>IF(ISERROR("TREGR13"),"",HYPERLINK("#INDEX('Frequencies'!A:A,MATCH(A" &amp; ROW() &amp; ",'Frequencies'!A:A,0))","Frequencies"))</f>
        <v>Frequencies</v>
      </c>
      <c r="G321" s="2"/>
      <c r="H321" s="2"/>
      <c r="I321" s="2"/>
      <c r="J321" s="2">
        <v>90</v>
      </c>
      <c r="K321" s="2"/>
      <c r="L321" s="2"/>
    </row>
    <row r="322" spans="1:12" ht="50.1" customHeight="1" x14ac:dyDescent="0.25">
      <c r="A322" s="3" t="s">
        <v>730</v>
      </c>
      <c r="B322" s="2" t="s">
        <v>731</v>
      </c>
      <c r="C322" s="2" t="s">
        <v>721</v>
      </c>
      <c r="D322" s="2" t="s">
        <v>15</v>
      </c>
      <c r="E322" s="4" t="str">
        <f>IF(ISERROR("TREGR14"),"",HYPERLINK("#INDEX('Value Lookup'!A:A,MATCH(A" &amp; ROW() &amp; ",'Value Lookup'!A:A,0))","Value Lookup"))</f>
        <v>Value Lookup</v>
      </c>
      <c r="F322" s="4" t="str">
        <f>IF(ISERROR("TREGR14"),"",HYPERLINK("#INDEX('Frequencies'!A:A,MATCH(A" &amp; ROW() &amp; ",'Frequencies'!A:A,0))","Frequencies"))</f>
        <v>Frequencies</v>
      </c>
      <c r="G322" s="2"/>
      <c r="H322" s="2"/>
      <c r="I322" s="2"/>
      <c r="J322" s="2">
        <v>91</v>
      </c>
      <c r="K322" s="2"/>
      <c r="L322" s="2"/>
    </row>
    <row r="323" spans="1:12" ht="50.1" customHeight="1" x14ac:dyDescent="0.25">
      <c r="A323" s="3" t="s">
        <v>732</v>
      </c>
      <c r="B323" s="2" t="s">
        <v>733</v>
      </c>
      <c r="C323" s="2" t="s">
        <v>721</v>
      </c>
      <c r="D323" s="2" t="s">
        <v>15</v>
      </c>
      <c r="E323" s="4" t="str">
        <f>IF(ISERROR("TREGR15"),"",HYPERLINK("#INDEX('Value Lookup'!A:A,MATCH(A" &amp; ROW() &amp; ",'Value Lookup'!A:A,0))","Value Lookup"))</f>
        <v>Value Lookup</v>
      </c>
      <c r="F323" s="4" t="str">
        <f>IF(ISERROR("TREGR15"),"",HYPERLINK("#INDEX('Frequencies'!A:A,MATCH(A" &amp; ROW() &amp; ",'Frequencies'!A:A,0))","Frequencies"))</f>
        <v>Frequencies</v>
      </c>
      <c r="G323" s="2"/>
      <c r="H323" s="2"/>
      <c r="I323" s="2"/>
      <c r="J323" s="2">
        <v>92</v>
      </c>
      <c r="K323" s="2"/>
      <c r="L323" s="2"/>
    </row>
    <row r="324" spans="1:12" ht="50.1" customHeight="1" x14ac:dyDescent="0.25">
      <c r="A324" s="3" t="s">
        <v>734</v>
      </c>
      <c r="B324" s="2" t="s">
        <v>735</v>
      </c>
      <c r="C324" s="2" t="s">
        <v>721</v>
      </c>
      <c r="D324" s="2" t="s">
        <v>15</v>
      </c>
      <c r="E324" s="4" t="str">
        <f>IF(ISERROR("TREGR16"),"",HYPERLINK("#INDEX('Value Lookup'!A:A,MATCH(A" &amp; ROW() &amp; ",'Value Lookup'!A:A,0))","Value Lookup"))</f>
        <v>Value Lookup</v>
      </c>
      <c r="F324" s="4" t="str">
        <f>IF(ISERROR("TREGR16"),"",HYPERLINK("#INDEX('Frequencies'!A:A,MATCH(A" &amp; ROW() &amp; ",'Frequencies'!A:A,0))","Frequencies"))</f>
        <v>Frequencies</v>
      </c>
      <c r="G324" s="2"/>
      <c r="H324" s="2"/>
      <c r="I324" s="2"/>
      <c r="J324" s="2">
        <v>93</v>
      </c>
      <c r="K324" s="2"/>
      <c r="L324" s="2"/>
    </row>
    <row r="325" spans="1:12" ht="50.1" customHeight="1" x14ac:dyDescent="0.25">
      <c r="A325" s="3" t="s">
        <v>736</v>
      </c>
      <c r="B325" s="2" t="s">
        <v>737</v>
      </c>
      <c r="C325" s="2" t="s">
        <v>721</v>
      </c>
      <c r="D325" s="2" t="s">
        <v>15</v>
      </c>
      <c r="E325" s="4" t="str">
        <f>IF(ISERROR("TREGR17"),"",HYPERLINK("#INDEX('Value Lookup'!A:A,MATCH(A" &amp; ROW() &amp; ",'Value Lookup'!A:A,0))","Value Lookup"))</f>
        <v>Value Lookup</v>
      </c>
      <c r="F325" s="4" t="str">
        <f>IF(ISERROR("TREGR17"),"",HYPERLINK("#INDEX('Frequencies'!A:A,MATCH(A" &amp; ROW() &amp; ",'Frequencies'!A:A,0))","Frequencies"))</f>
        <v>Frequencies</v>
      </c>
      <c r="G325" s="2"/>
      <c r="H325" s="2"/>
      <c r="I325" s="2"/>
      <c r="J325" s="2">
        <v>94</v>
      </c>
      <c r="K325" s="2"/>
      <c r="L325" s="2"/>
    </row>
    <row r="326" spans="1:12" ht="50.1" hidden="1" customHeight="1" x14ac:dyDescent="0.25">
      <c r="A326" s="3" t="s">
        <v>226</v>
      </c>
      <c r="B326" s="2" t="s">
        <v>227</v>
      </c>
      <c r="C326" s="2"/>
      <c r="D326" s="2" t="s">
        <v>41</v>
      </c>
      <c r="E326" s="2" t="str">
        <f>IF(ISERROR("HBRESDN17"),"","NA")</f>
        <v>NA</v>
      </c>
      <c r="F326" s="4" t="str">
        <f>IF(ISERROR("HBRESDN17"),"",HYPERLINK("#INDEX('Frequencies'!A:A,MATCH(A" &amp; ROW() &amp; ",'Frequencies'!A:A,0))","Frequencies"))</f>
        <v>Frequencies</v>
      </c>
      <c r="G326" s="2">
        <v>91</v>
      </c>
      <c r="H326" s="2"/>
      <c r="I326" s="2"/>
      <c r="J326" s="2"/>
      <c r="K326" s="2"/>
      <c r="L326" s="2"/>
    </row>
    <row r="327" spans="1:12" ht="50.1" customHeight="1" x14ac:dyDescent="0.25">
      <c r="A327" s="3" t="s">
        <v>738</v>
      </c>
      <c r="B327" s="2" t="s">
        <v>739</v>
      </c>
      <c r="C327" s="2" t="s">
        <v>721</v>
      </c>
      <c r="D327" s="2" t="s">
        <v>15</v>
      </c>
      <c r="E327" s="4" t="str">
        <f>IF(ISERROR("TREGR18"),"",HYPERLINK("#INDEX('Value Lookup'!A:A,MATCH(A" &amp; ROW() &amp; ",'Value Lookup'!A:A,0))","Value Lookup"))</f>
        <v>Value Lookup</v>
      </c>
      <c r="F327" s="4" t="str">
        <f>IF(ISERROR("TREGR18"),"",HYPERLINK("#INDEX('Frequencies'!A:A,MATCH(A" &amp; ROW() &amp; ",'Frequencies'!A:A,0))","Frequencies"))</f>
        <v>Frequencies</v>
      </c>
      <c r="G327" s="2"/>
      <c r="H327" s="2"/>
      <c r="I327" s="2"/>
      <c r="J327" s="2">
        <v>95</v>
      </c>
      <c r="K327" s="2"/>
      <c r="L327" s="2"/>
    </row>
    <row r="328" spans="1:12" ht="50.1" customHeight="1" x14ac:dyDescent="0.25">
      <c r="A328" s="3" t="s">
        <v>740</v>
      </c>
      <c r="B328" s="2" t="s">
        <v>741</v>
      </c>
      <c r="C328" s="2" t="s">
        <v>721</v>
      </c>
      <c r="D328" s="2" t="s">
        <v>15</v>
      </c>
      <c r="E328" s="4" t="str">
        <f>IF(ISERROR("TREGR19"),"",HYPERLINK("#INDEX('Value Lookup'!A:A,MATCH(A" &amp; ROW() &amp; ",'Value Lookup'!A:A,0))","Value Lookup"))</f>
        <v>Value Lookup</v>
      </c>
      <c r="F328" s="4" t="str">
        <f>IF(ISERROR("TREGR19"),"",HYPERLINK("#INDEX('Frequencies'!A:A,MATCH(A" &amp; ROW() &amp; ",'Frequencies'!A:A,0))","Frequencies"))</f>
        <v>Frequencies</v>
      </c>
      <c r="G328" s="2"/>
      <c r="H328" s="2"/>
      <c r="I328" s="2"/>
      <c r="J328" s="2">
        <v>96</v>
      </c>
      <c r="K328" s="2"/>
      <c r="L328" s="2"/>
    </row>
    <row r="329" spans="1:12" ht="50.1" customHeight="1" x14ac:dyDescent="0.25">
      <c r="A329" s="3" t="s">
        <v>744</v>
      </c>
      <c r="B329" s="2" t="s">
        <v>745</v>
      </c>
      <c r="C329" s="2" t="s">
        <v>721</v>
      </c>
      <c r="D329" s="2" t="s">
        <v>15</v>
      </c>
      <c r="E329" s="4" t="str">
        <f>IF(ISERROR("TREGR20"),"",HYPERLINK("#INDEX('Value Lookup'!A:A,MATCH(A" &amp; ROW() &amp; ",'Value Lookup'!A:A,0))","Value Lookup"))</f>
        <v>Value Lookup</v>
      </c>
      <c r="F329" s="4" t="str">
        <f>IF(ISERROR("TREGR20"),"",HYPERLINK("#INDEX('Frequencies'!A:A,MATCH(A" &amp; ROW() &amp; ",'Frequencies'!A:A,0))","Frequencies"))</f>
        <v>Frequencies</v>
      </c>
      <c r="G329" s="2"/>
      <c r="H329" s="2"/>
      <c r="I329" s="2"/>
      <c r="J329" s="2">
        <v>97</v>
      </c>
      <c r="K329" s="2"/>
      <c r="L329" s="2"/>
    </row>
    <row r="330" spans="1:12" ht="50.1" customHeight="1" x14ac:dyDescent="0.25">
      <c r="A330" s="3" t="s">
        <v>762</v>
      </c>
      <c r="B330" s="2" t="s">
        <v>763</v>
      </c>
      <c r="C330" s="2" t="s">
        <v>721</v>
      </c>
      <c r="D330" s="2" t="s">
        <v>15</v>
      </c>
      <c r="E330" s="4" t="str">
        <f>IF(ISERROR("TREGR_O"),"",HYPERLINK("#INDEX('Value Lookup'!A:A,MATCH(A" &amp; ROW() &amp; ",'Value Lookup'!A:A,0))","Value Lookup"))</f>
        <v>Value Lookup</v>
      </c>
      <c r="F330" s="4" t="str">
        <f>IF(ISERROR("TREGR_O"),"",HYPERLINK("#INDEX('Frequencies'!A:A,MATCH(A" &amp; ROW() &amp; ",'Frequencies'!A:A,0))","Frequencies"))</f>
        <v>Frequencies</v>
      </c>
      <c r="G330" s="2"/>
      <c r="H330" s="2"/>
      <c r="I330" s="2"/>
      <c r="J330" s="2">
        <v>98</v>
      </c>
      <c r="K330" s="2"/>
      <c r="L330" s="2"/>
    </row>
    <row r="331" spans="1:12" ht="50.1" customHeight="1" x14ac:dyDescent="0.25">
      <c r="A331" s="3" t="s">
        <v>760</v>
      </c>
      <c r="B331" s="2" t="s">
        <v>761</v>
      </c>
      <c r="C331" s="2" t="s">
        <v>721</v>
      </c>
      <c r="D331" s="2" t="s">
        <v>15</v>
      </c>
      <c r="E331" s="4" t="str">
        <f>IF(ISERROR("TREGRDK"),"",HYPERLINK("#INDEX('Value Lookup'!A:A,MATCH(A" &amp; ROW() &amp; ",'Value Lookup'!A:A,0))","Value Lookup"))</f>
        <v>Value Lookup</v>
      </c>
      <c r="F331" s="4" t="str">
        <f>IF(ISERROR("TREGRDK"),"",HYPERLINK("#INDEX('Frequencies'!A:A,MATCH(A" &amp; ROW() &amp; ",'Frequencies'!A:A,0))","Frequencies"))</f>
        <v>Frequencies</v>
      </c>
      <c r="G331" s="2"/>
      <c r="H331" s="2"/>
      <c r="I331" s="2"/>
      <c r="J331" s="2">
        <v>99</v>
      </c>
      <c r="K331" s="2"/>
      <c r="L331" s="2"/>
    </row>
    <row r="332" spans="1:12" ht="50.1" customHeight="1" x14ac:dyDescent="0.25">
      <c r="A332" s="3" t="s">
        <v>764</v>
      </c>
      <c r="B332" s="2" t="s">
        <v>765</v>
      </c>
      <c r="C332" s="2" t="s">
        <v>721</v>
      </c>
      <c r="D332" s="2" t="s">
        <v>15</v>
      </c>
      <c r="E332" s="4" t="str">
        <f>IF(ISERROR("TREGRRF"),"",HYPERLINK("#INDEX('Value Lookup'!A:A,MATCH(A" &amp; ROW() &amp; ",'Value Lookup'!A:A,0))","Value Lookup"))</f>
        <v>Value Lookup</v>
      </c>
      <c r="F332" s="4" t="str">
        <f>IF(ISERROR("TREGRRF"),"",HYPERLINK("#INDEX('Frequencies'!A:A,MATCH(A" &amp; ROW() &amp; ",'Frequencies'!A:A,0))","Frequencies"))</f>
        <v>Frequencies</v>
      </c>
      <c r="G332" s="2"/>
      <c r="H332" s="2"/>
      <c r="I332" s="2"/>
      <c r="J332" s="2">
        <v>100</v>
      </c>
      <c r="K332" s="2"/>
      <c r="L332" s="2"/>
    </row>
    <row r="333" spans="1:12" ht="50.1" customHeight="1" x14ac:dyDescent="0.25">
      <c r="A333" s="3" t="s">
        <v>275</v>
      </c>
      <c r="B333" s="2" t="s">
        <v>276</v>
      </c>
      <c r="C333" s="2" t="s">
        <v>277</v>
      </c>
      <c r="D333" s="2" t="s">
        <v>15</v>
      </c>
      <c r="E333" s="4" t="str">
        <f>IF(ISERROR("HOWFRPOS"),"",HYPERLINK("#INDEX('Value Lookup'!A:A,MATCH(A" &amp; ROW() &amp; ",'Value Lookup'!A:A,0))","Value Lookup"))</f>
        <v>Value Lookup</v>
      </c>
      <c r="F333" s="4" t="str">
        <f>IF(ISERROR("HOWFRPOS"),"",HYPERLINK("#INDEX('Frequencies'!A:A,MATCH(A" &amp; ROW() &amp; ",'Frequencies'!A:A,0))","Frequencies"))</f>
        <v>Frequencies</v>
      </c>
      <c r="G333" s="2"/>
      <c r="H333" s="2"/>
      <c r="I333" s="2"/>
      <c r="J333" s="2">
        <v>101</v>
      </c>
      <c r="K333" s="2"/>
      <c r="L333" s="2"/>
    </row>
    <row r="334" spans="1:12" ht="50.1" customHeight="1" x14ac:dyDescent="0.25">
      <c r="A334" s="3" t="s">
        <v>451</v>
      </c>
      <c r="B334" s="2" t="s">
        <v>452</v>
      </c>
      <c r="C334" s="2"/>
      <c r="D334" s="2" t="s">
        <v>15</v>
      </c>
      <c r="E334" s="4" t="str">
        <f>IF(ISERROR("ONTD_P1"),"",HYPERLINK("#INDEX('Value Lookup'!A:A,MATCH(A" &amp; ROW() &amp; ",'Value Lookup'!A:A,0))","Value Lookup"))</f>
        <v>Value Lookup</v>
      </c>
      <c r="F334" s="4" t="str">
        <f>IF(ISERROR("ONTD_P1"),"",HYPERLINK("#INDEX('Frequencies'!A:A,MATCH(A" &amp; ROW() &amp; ",'Frequencies'!A:A,0))","Frequencies"))</f>
        <v>Frequencies</v>
      </c>
      <c r="G334" s="2"/>
      <c r="H334" s="2"/>
      <c r="I334" s="2"/>
      <c r="J334" s="2">
        <v>102</v>
      </c>
      <c r="K334" s="2"/>
      <c r="L334" s="2"/>
    </row>
    <row r="335" spans="1:12" ht="50.1" customHeight="1" x14ac:dyDescent="0.25">
      <c r="A335" s="3" t="s">
        <v>465</v>
      </c>
      <c r="B335" s="2" t="s">
        <v>466</v>
      </c>
      <c r="C335" s="2"/>
      <c r="D335" s="2" t="s">
        <v>15</v>
      </c>
      <c r="E335" s="4" t="str">
        <f>IF(ISERROR("ONTD_P2"),"",HYPERLINK("#INDEX('Value Lookup'!A:A,MATCH(A" &amp; ROW() &amp; ",'Value Lookup'!A:A,0))","Value Lookup"))</f>
        <v>Value Lookup</v>
      </c>
      <c r="F335" s="4" t="str">
        <f>IF(ISERROR("ONTD_P2"),"",HYPERLINK("#INDEX('Frequencies'!A:A,MATCH(A" &amp; ROW() &amp; ",'Frequencies'!A:A,0))","Frequencies"))</f>
        <v>Frequencies</v>
      </c>
      <c r="G335" s="2"/>
      <c r="H335" s="2"/>
      <c r="I335" s="2"/>
      <c r="J335" s="2">
        <v>103</v>
      </c>
      <c r="K335" s="2"/>
      <c r="L335" s="2"/>
    </row>
    <row r="336" spans="1:12" ht="50.1" customHeight="1" x14ac:dyDescent="0.25">
      <c r="A336" s="3" t="s">
        <v>467</v>
      </c>
      <c r="B336" s="2" t="s">
        <v>468</v>
      </c>
      <c r="C336" s="2"/>
      <c r="D336" s="2" t="s">
        <v>15</v>
      </c>
      <c r="E336" s="4" t="str">
        <f>IF(ISERROR("ONTD_P3"),"",HYPERLINK("#INDEX('Value Lookup'!A:A,MATCH(A" &amp; ROW() &amp; ",'Value Lookup'!A:A,0))","Value Lookup"))</f>
        <v>Value Lookup</v>
      </c>
      <c r="F336" s="4" t="str">
        <f>IF(ISERROR("ONTD_P3"),"",HYPERLINK("#INDEX('Frequencies'!A:A,MATCH(A" &amp; ROW() &amp; ",'Frequencies'!A:A,0))","Frequencies"))</f>
        <v>Frequencies</v>
      </c>
      <c r="G336" s="2"/>
      <c r="H336" s="2"/>
      <c r="I336" s="2"/>
      <c r="J336" s="2">
        <v>104</v>
      </c>
      <c r="K336" s="2"/>
      <c r="L336" s="2"/>
    </row>
    <row r="337" spans="1:12" ht="50.1" customHeight="1" x14ac:dyDescent="0.25">
      <c r="A337" s="3" t="s">
        <v>469</v>
      </c>
      <c r="B337" s="2" t="s">
        <v>470</v>
      </c>
      <c r="C337" s="2"/>
      <c r="D337" s="2" t="s">
        <v>15</v>
      </c>
      <c r="E337" s="4" t="str">
        <f>IF(ISERROR("ONTD_P4"),"",HYPERLINK("#INDEX('Value Lookup'!A:A,MATCH(A" &amp; ROW() &amp; ",'Value Lookup'!A:A,0))","Value Lookup"))</f>
        <v>Value Lookup</v>
      </c>
      <c r="F337" s="4" t="str">
        <f>IF(ISERROR("ONTD_P4"),"",HYPERLINK("#INDEX('Frequencies'!A:A,MATCH(A" &amp; ROW() &amp; ",'Frequencies'!A:A,0))","Frequencies"))</f>
        <v>Frequencies</v>
      </c>
      <c r="G337" s="2"/>
      <c r="H337" s="2"/>
      <c r="I337" s="2"/>
      <c r="J337" s="2">
        <v>105</v>
      </c>
      <c r="K337" s="2"/>
      <c r="L337" s="2"/>
    </row>
    <row r="338" spans="1:12" ht="50.1" customHeight="1" x14ac:dyDescent="0.25">
      <c r="A338" s="3" t="s">
        <v>471</v>
      </c>
      <c r="B338" s="2" t="s">
        <v>472</v>
      </c>
      <c r="C338" s="2"/>
      <c r="D338" s="2" t="s">
        <v>15</v>
      </c>
      <c r="E338" s="4" t="str">
        <f>IF(ISERROR("ONTD_P5"),"",HYPERLINK("#INDEX('Value Lookup'!A:A,MATCH(A" &amp; ROW() &amp; ",'Value Lookup'!A:A,0))","Value Lookup"))</f>
        <v>Value Lookup</v>
      </c>
      <c r="F338" s="4" t="str">
        <f>IF(ISERROR("ONTD_P5"),"",HYPERLINK("#INDEX('Frequencies'!A:A,MATCH(A" &amp; ROW() &amp; ",'Frequencies'!A:A,0))","Frequencies"))</f>
        <v>Frequencies</v>
      </c>
      <c r="G338" s="2"/>
      <c r="H338" s="2"/>
      <c r="I338" s="2"/>
      <c r="J338" s="2">
        <v>106</v>
      </c>
      <c r="K338" s="2"/>
      <c r="L338" s="2"/>
    </row>
    <row r="339" spans="1:12" ht="50.1" hidden="1" customHeight="1" x14ac:dyDescent="0.25">
      <c r="A339" s="3" t="s">
        <v>283</v>
      </c>
      <c r="B339" s="2" t="s">
        <v>284</v>
      </c>
      <c r="C339" s="2"/>
      <c r="D339" s="2" t="s">
        <v>41</v>
      </c>
      <c r="E339" s="2" t="str">
        <f>IF(ISERROR("HTEEMPDN17"),"","NA")</f>
        <v>NA</v>
      </c>
      <c r="F339" s="4" t="str">
        <f>IF(ISERROR("HTEEMPDN17"),"",HYPERLINK("#INDEX('Frequencies'!A:A,MATCH(A" &amp; ROW() &amp; ",'Frequencies'!A:A,0))","Frequencies"))</f>
        <v>Frequencies</v>
      </c>
      <c r="G339" s="2">
        <v>92</v>
      </c>
      <c r="H339" s="2"/>
      <c r="I339" s="2"/>
      <c r="J339" s="2"/>
      <c r="K339" s="2"/>
      <c r="L339" s="2"/>
    </row>
    <row r="340" spans="1:12" ht="50.1" hidden="1" customHeight="1" x14ac:dyDescent="0.25">
      <c r="A340" s="3" t="s">
        <v>287</v>
      </c>
      <c r="B340" s="2" t="s">
        <v>288</v>
      </c>
      <c r="C340" s="2"/>
      <c r="D340" s="2" t="s">
        <v>41</v>
      </c>
      <c r="E340" s="4" t="str">
        <f>IF(ISERROR("HTHTNRNT17"),"",HYPERLINK("#INDEX('Value Lookup'!A:A,MATCH(A" &amp; ROW() &amp; ",'Value Lookup'!A:A,0))","Value Lookup"))</f>
        <v>Value Lookup</v>
      </c>
      <c r="F340" s="4" t="str">
        <f>IF(ISERROR("HTHTNRNT17"),"",HYPERLINK("#INDEX('Frequencies'!A:A,MATCH(A" &amp; ROW() &amp; ",'Frequencies'!A:A,0))","Frequencies"))</f>
        <v>Frequencies</v>
      </c>
      <c r="G340" s="2">
        <v>93</v>
      </c>
      <c r="H340" s="2"/>
      <c r="I340" s="2"/>
      <c r="J340" s="2"/>
      <c r="K340" s="2"/>
      <c r="L340" s="2"/>
    </row>
    <row r="341" spans="1:12" ht="50.1" hidden="1" customHeight="1" x14ac:dyDescent="0.25">
      <c r="A341" s="3" t="s">
        <v>291</v>
      </c>
      <c r="B341" s="2" t="s">
        <v>292</v>
      </c>
      <c r="C341" s="2"/>
      <c r="D341" s="2" t="s">
        <v>41</v>
      </c>
      <c r="E341" s="2" t="str">
        <f>IF(ISERROR("HTPPOPDN17"),"","NA")</f>
        <v>NA</v>
      </c>
      <c r="F341" s="4" t="str">
        <f>IF(ISERROR("HTPPOPDN17"),"",HYPERLINK("#INDEX('Frequencies'!A:A,MATCH(A" &amp; ROW() &amp; ",'Frequencies'!A:A,0))","Frequencies"))</f>
        <v>Frequencies</v>
      </c>
      <c r="G341" s="2">
        <v>94</v>
      </c>
      <c r="H341" s="2"/>
      <c r="I341" s="2"/>
      <c r="J341" s="2"/>
      <c r="K341" s="2"/>
      <c r="L341" s="2"/>
    </row>
    <row r="342" spans="1:12" ht="50.1" hidden="1" customHeight="1" x14ac:dyDescent="0.25">
      <c r="A342" s="3" t="s">
        <v>954</v>
      </c>
      <c r="B342" s="2" t="s">
        <v>955</v>
      </c>
      <c r="C342" s="2" t="s">
        <v>388</v>
      </c>
      <c r="D342" s="2" t="s">
        <v>15</v>
      </c>
      <c r="E342" s="4" t="str">
        <f>IF(ISERROR("W_SCOOTR"),"",HYPERLINK("#INDEX('Value Lookup'!A:A,MATCH(A" &amp; ROW() &amp; ",'Value Lookup'!A:A,0))","Value Lookup"))</f>
        <v>Value Lookup</v>
      </c>
      <c r="F342" s="4" t="str">
        <f>IF(ISERROR("W_SCOOTR"),"",HYPERLINK("#INDEX('Frequencies'!A:A,MATCH(A" &amp; ROW() &amp; ",'Frequencies'!A:A,0))","Frequencies"))</f>
        <v>Frequencies</v>
      </c>
      <c r="G342" s="2"/>
      <c r="H342" s="2">
        <v>112</v>
      </c>
      <c r="I342" s="2"/>
      <c r="J342" s="2"/>
      <c r="K342" s="2"/>
      <c r="L342" s="2"/>
    </row>
    <row r="343" spans="1:12" ht="50.1" hidden="1" customHeight="1" x14ac:dyDescent="0.25">
      <c r="A343" s="3" t="s">
        <v>881</v>
      </c>
      <c r="B343" s="2" t="s">
        <v>882</v>
      </c>
      <c r="C343" s="2" t="s">
        <v>388</v>
      </c>
      <c r="D343" s="2" t="s">
        <v>15</v>
      </c>
      <c r="E343" s="4" t="str">
        <f>IF(ISERROR("W_CHAIR"),"",HYPERLINK("#INDEX('Value Lookup'!A:A,MATCH(A" &amp; ROW() &amp; ",'Value Lookup'!A:A,0))","Value Lookup"))</f>
        <v>Value Lookup</v>
      </c>
      <c r="F343" s="4" t="str">
        <f>IF(ISERROR("W_CHAIR"),"",HYPERLINK("#INDEX('Frequencies'!A:A,MATCH(A" &amp; ROW() &amp; ",'Frequencies'!A:A,0))","Frequencies"))</f>
        <v>Frequencies</v>
      </c>
      <c r="G343" s="2"/>
      <c r="H343" s="2">
        <v>113</v>
      </c>
      <c r="I343" s="2"/>
      <c r="J343" s="2"/>
      <c r="K343" s="2"/>
      <c r="L343" s="2"/>
    </row>
    <row r="344" spans="1:12" ht="50.1" hidden="1" customHeight="1" x14ac:dyDescent="0.25">
      <c r="A344" s="3" t="s">
        <v>231</v>
      </c>
      <c r="B344" s="2" t="s">
        <v>232</v>
      </c>
      <c r="C344" s="2" t="s">
        <v>233</v>
      </c>
      <c r="D344" s="2" t="s">
        <v>15</v>
      </c>
      <c r="E344" s="4" t="str">
        <f>IF(ISERROR("HFUEL"),"",HYPERLINK("#INDEX('Value Lookup'!A:A,MATCH(A" &amp; ROW() &amp; ",'Value Lookup'!A:A,0))","Value Lookup"))</f>
        <v>Value Lookup</v>
      </c>
      <c r="F344" s="4" t="str">
        <f>IF(ISERROR("HFUEL"),"",HYPERLINK("#INDEX('Frequencies'!A:A,MATCH(A" &amp; ROW() &amp; ",'Frequencies'!A:A,0))","Frequencies"))</f>
        <v>Frequencies</v>
      </c>
      <c r="G344" s="2"/>
      <c r="H344" s="2"/>
      <c r="I344" s="2">
        <v>19</v>
      </c>
      <c r="J344" s="2"/>
      <c r="K344" s="2"/>
      <c r="L344" s="2"/>
    </row>
    <row r="345" spans="1:12" ht="50.1" hidden="1" customHeight="1" x14ac:dyDescent="0.25">
      <c r="A345" s="3" t="s">
        <v>234</v>
      </c>
      <c r="B345" s="2" t="s">
        <v>235</v>
      </c>
      <c r="C345" s="2" t="s">
        <v>236</v>
      </c>
      <c r="D345" s="2" t="s">
        <v>15</v>
      </c>
      <c r="E345" s="4" t="str">
        <f>IF(ISERROR("HFUEL_O"),"",HYPERLINK("#INDEX('Value Lookup'!A:A,MATCH(A" &amp; ROW() &amp; ",'Value Lookup'!A:A,0))","Value Lookup"))</f>
        <v>Value Lookup</v>
      </c>
      <c r="F345" s="4" t="str">
        <f>IF(ISERROR("HFUEL_O"),"",HYPERLINK("#INDEX('Frequencies'!A:A,MATCH(A" &amp; ROW() &amp; ",'Frequencies'!A:A,0))","Frequencies"))</f>
        <v>Frequencies</v>
      </c>
      <c r="G345" s="2"/>
      <c r="H345" s="2"/>
      <c r="I345" s="2">
        <v>20</v>
      </c>
      <c r="J345" s="2"/>
      <c r="K345" s="2"/>
      <c r="L345" s="2"/>
    </row>
    <row r="346" spans="1:12" ht="50.1" hidden="1" customHeight="1" x14ac:dyDescent="0.25">
      <c r="A346" s="3" t="s">
        <v>820</v>
      </c>
      <c r="B346" s="2" t="s">
        <v>821</v>
      </c>
      <c r="C346" s="2" t="s">
        <v>822</v>
      </c>
      <c r="D346" s="2" t="s">
        <v>15</v>
      </c>
      <c r="E346" s="4" t="str">
        <f>IF(ISERROR("VEHOWNED"),"",HYPERLINK("#INDEX('Value Lookup'!A:A,MATCH(A" &amp; ROW() &amp; ",'Value Lookup'!A:A,0))","Value Lookup"))</f>
        <v>Value Lookup</v>
      </c>
      <c r="F346" s="4" t="str">
        <f>IF(ISERROR("VEHOWNED"),"",HYPERLINK("#INDEX('Frequencies'!A:A,MATCH(A" &amp; ROW() &amp; ",'Frequencies'!A:A,0))","Frequencies"))</f>
        <v>Frequencies</v>
      </c>
      <c r="G346" s="2"/>
      <c r="H346" s="2"/>
      <c r="I346" s="2">
        <v>21</v>
      </c>
      <c r="J346" s="2"/>
      <c r="K346" s="2"/>
      <c r="L346" s="2"/>
    </row>
    <row r="347" spans="1:12" ht="50.1" hidden="1" customHeight="1" x14ac:dyDescent="0.25">
      <c r="A347" s="3" t="s">
        <v>817</v>
      </c>
      <c r="B347" s="2" t="s">
        <v>818</v>
      </c>
      <c r="C347" s="2" t="s">
        <v>819</v>
      </c>
      <c r="D347" s="2" t="s">
        <v>41</v>
      </c>
      <c r="E347" s="2" t="str">
        <f>IF(ISERROR("VEHMILES"),"","Range: 0 - 200000")</f>
        <v>Range: 0 - 200000</v>
      </c>
      <c r="F347" s="4" t="str">
        <f>IF(ISERROR("VEHMILES"),"",HYPERLINK("#INDEX('Frequencies'!A:A,MATCH(A" &amp; ROW() &amp; ",'Frequencies'!A:A,0))","Frequencies"))</f>
        <v>Frequencies</v>
      </c>
      <c r="G347" s="2"/>
      <c r="H347" s="2"/>
      <c r="I347" s="2">
        <v>22</v>
      </c>
      <c r="J347" s="2"/>
      <c r="K347" s="2"/>
      <c r="L347" s="2"/>
    </row>
    <row r="348" spans="1:12" ht="50.1" hidden="1" customHeight="1" x14ac:dyDescent="0.25">
      <c r="A348" s="3" t="s">
        <v>838</v>
      </c>
      <c r="B348" s="2" t="s">
        <v>839</v>
      </c>
      <c r="C348" s="2" t="s">
        <v>840</v>
      </c>
      <c r="D348" s="2" t="s">
        <v>15</v>
      </c>
      <c r="E348" s="4" t="str">
        <f>IF(ISERROR("VERMILES"),"",HYPERLINK("#INDEX('Value Lookup'!A:A,MATCH(A" &amp; ROW() &amp; ",'Value Lookup'!A:A,0))","Value Lookup"))</f>
        <v>Value Lookup</v>
      </c>
      <c r="F348" s="4" t="str">
        <f>IF(ISERROR("VERMILES"),"",HYPERLINK("#INDEX('Frequencies'!A:A,MATCH(A" &amp; ROW() &amp; ",'Frequencies'!A:A,0))","Frequencies"))</f>
        <v>Frequencies</v>
      </c>
      <c r="G348" s="2"/>
      <c r="H348" s="2"/>
      <c r="I348" s="2">
        <v>23</v>
      </c>
      <c r="J348" s="2"/>
      <c r="K348" s="2"/>
      <c r="L348" s="2"/>
    </row>
    <row r="349" spans="1:12" ht="50.1" hidden="1" customHeight="1" x14ac:dyDescent="0.25">
      <c r="A349" s="3" t="s">
        <v>815</v>
      </c>
      <c r="B349" s="2" t="s">
        <v>816</v>
      </c>
      <c r="C349" s="2" t="s">
        <v>182</v>
      </c>
      <c r="D349" s="2" t="s">
        <v>15</v>
      </c>
      <c r="E349" s="4" t="str">
        <f>IF(ISERROR("VEHMILE2"),"",HYPERLINK("#INDEX('Value Lookup'!A:A,MATCH(A" &amp; ROW() &amp; ",'Value Lookup'!A:A,0))","Value Lookup"))</f>
        <v>Value Lookup</v>
      </c>
      <c r="F349" s="4" t="str">
        <f>IF(ISERROR("VEHMILE2"),"",HYPERLINK("#INDEX('Frequencies'!A:A,MATCH(A" &amp; ROW() &amp; ",'Frequencies'!A:A,0))","Frequencies"))</f>
        <v>Frequencies</v>
      </c>
      <c r="G349" s="2"/>
      <c r="H349" s="2"/>
      <c r="I349" s="2">
        <v>24</v>
      </c>
      <c r="J349" s="2"/>
      <c r="K349" s="2"/>
      <c r="L349" s="2"/>
    </row>
    <row r="350" spans="1:12" ht="50.1" hidden="1" customHeight="1" x14ac:dyDescent="0.25">
      <c r="A350" s="3" t="s">
        <v>823</v>
      </c>
      <c r="B350" s="2" t="s">
        <v>824</v>
      </c>
      <c r="C350" s="2" t="s">
        <v>825</v>
      </c>
      <c r="D350" s="2" t="s">
        <v>15</v>
      </c>
      <c r="E350" s="2" t="str">
        <f>IF(ISERROR("VEHOWNMO"),"","Range: 0 - 11")</f>
        <v>Range: 0 - 11</v>
      </c>
      <c r="F350" s="4" t="str">
        <f>IF(ISERROR("VEHOWNMO"),"",HYPERLINK("#INDEX('Frequencies'!A:A,MATCH(A" &amp; ROW() &amp; ",'Frequencies'!A:A,0))","Frequencies"))</f>
        <v>Frequencies</v>
      </c>
      <c r="G350" s="2"/>
      <c r="H350" s="2"/>
      <c r="I350" s="2">
        <v>25</v>
      </c>
      <c r="J350" s="2"/>
      <c r="K350" s="2"/>
      <c r="L350" s="2"/>
    </row>
    <row r="351" spans="1:12" ht="50.1" hidden="1" customHeight="1" x14ac:dyDescent="0.25">
      <c r="A351" s="3" t="s">
        <v>183</v>
      </c>
      <c r="B351" s="2" t="s">
        <v>184</v>
      </c>
      <c r="C351" s="2" t="s">
        <v>185</v>
      </c>
      <c r="D351" s="2" t="s">
        <v>41</v>
      </c>
      <c r="E351" s="2" t="str">
        <f>IF(ISERROR("ESTMILES"),"","Range: 0 - 200000")</f>
        <v>Range: 0 - 200000</v>
      </c>
      <c r="F351" s="4" t="str">
        <f>IF(ISERROR("ESTMILES"),"",HYPERLINK("#INDEX('Frequencies'!A:A,MATCH(A" &amp; ROW() &amp; ",'Frequencies'!A:A,0))","Frequencies"))</f>
        <v>Frequencies</v>
      </c>
      <c r="G351" s="2"/>
      <c r="H351" s="2"/>
      <c r="I351" s="2">
        <v>26</v>
      </c>
      <c r="J351" s="2"/>
      <c r="K351" s="2"/>
      <c r="L351" s="2"/>
    </row>
    <row r="352" spans="1:12" ht="50.1" hidden="1" customHeight="1" x14ac:dyDescent="0.25">
      <c r="A352" s="3" t="s">
        <v>835</v>
      </c>
      <c r="B352" s="2" t="s">
        <v>836</v>
      </c>
      <c r="C352" s="2" t="s">
        <v>837</v>
      </c>
      <c r="D352" s="2" t="s">
        <v>15</v>
      </c>
      <c r="E352" s="4" t="str">
        <f>IF(ISERROR("VERESTML"),"",HYPERLINK("#INDEX('Value Lookup'!A:A,MATCH(A" &amp; ROW() &amp; ",'Value Lookup'!A:A,0))","Value Lookup"))</f>
        <v>Value Lookup</v>
      </c>
      <c r="F352" s="4" t="str">
        <f>IF(ISERROR("VERESTML"),"",HYPERLINK("#INDEX('Frequencies'!A:A,MATCH(A" &amp; ROW() &amp; ",'Frequencies'!A:A,0))","Frequencies"))</f>
        <v>Frequencies</v>
      </c>
      <c r="G352" s="2"/>
      <c r="H352" s="2"/>
      <c r="I352" s="2">
        <v>27</v>
      </c>
      <c r="J352" s="2"/>
      <c r="K352" s="2"/>
      <c r="L352" s="2"/>
    </row>
    <row r="353" spans="1:12" ht="50.1" hidden="1" customHeight="1" x14ac:dyDescent="0.25">
      <c r="A353" s="3" t="s">
        <v>180</v>
      </c>
      <c r="B353" s="2" t="s">
        <v>181</v>
      </c>
      <c r="C353" s="2" t="s">
        <v>182</v>
      </c>
      <c r="D353" s="2" t="s">
        <v>15</v>
      </c>
      <c r="E353" s="4" t="str">
        <f>IF(ISERROR("ESTMILE2"),"",HYPERLINK("#INDEX('Value Lookup'!A:A,MATCH(A" &amp; ROW() &amp; ",'Value Lookup'!A:A,0))","Value Lookup"))</f>
        <v>Value Lookup</v>
      </c>
      <c r="F353" s="4" t="str">
        <f>IF(ISERROR("ESTMILE2"),"",HYPERLINK("#INDEX('Frequencies'!A:A,MATCH(A" &amp; ROW() &amp; ",'Frequencies'!A:A,0))","Frequencies"))</f>
        <v>Frequencies</v>
      </c>
      <c r="G353" s="2"/>
      <c r="H353" s="2"/>
      <c r="I353" s="2">
        <v>28</v>
      </c>
      <c r="J353" s="2"/>
      <c r="K353" s="2"/>
      <c r="L353" s="2"/>
    </row>
    <row r="354" spans="1:12" ht="50.1" hidden="1" customHeight="1" x14ac:dyDescent="0.25">
      <c r="A354" s="3" t="s">
        <v>39</v>
      </c>
      <c r="B354" s="2" t="s">
        <v>40</v>
      </c>
      <c r="C354" s="2"/>
      <c r="D354" s="2" t="s">
        <v>41</v>
      </c>
      <c r="E354" s="4" t="str">
        <f>IF(ISERROR("ANNMILES"),"",HYPERLINK("#INDEX('Value Lookup'!A:A,MATCH(A" &amp; ROW() &amp; ",'Value Lookup'!A:A,0))","Value Lookup"))</f>
        <v>Value Lookup</v>
      </c>
      <c r="F354" s="4" t="str">
        <f>IF(ISERROR("ANNMILES"),"",HYPERLINK("#INDEX('Frequencies'!A:A,MATCH(A" &amp; ROW() &amp; ",'Frequencies'!A:A,0))","Frequencies"))</f>
        <v>Frequencies</v>
      </c>
      <c r="G354" s="2"/>
      <c r="H354" s="2"/>
      <c r="I354" s="2">
        <v>29</v>
      </c>
      <c r="J354" s="2"/>
      <c r="K354" s="2"/>
      <c r="L354" s="2"/>
    </row>
    <row r="355" spans="1:12" ht="50.1" hidden="1" customHeight="1" x14ac:dyDescent="0.25">
      <c r="A355" s="3" t="s">
        <v>926</v>
      </c>
      <c r="B355" s="2" t="s">
        <v>927</v>
      </c>
      <c r="C355" s="2" t="s">
        <v>388</v>
      </c>
      <c r="D355" s="2" t="s">
        <v>15</v>
      </c>
      <c r="E355" s="4" t="str">
        <f>IF(ISERROR("W_MTRCHR"),"",HYPERLINK("#INDEX('Value Lookup'!A:A,MATCH(A" &amp; ROW() &amp; ",'Value Lookup'!A:A,0))","Value Lookup"))</f>
        <v>Value Lookup</v>
      </c>
      <c r="F355" s="4" t="str">
        <f>IF(ISERROR("W_MTRCHR"),"",HYPERLINK("#INDEX('Frequencies'!A:A,MATCH(A" &amp; ROW() &amp; ",'Frequencies'!A:A,0))","Frequencies"))</f>
        <v>Frequencies</v>
      </c>
      <c r="G355" s="2"/>
      <c r="H355" s="2">
        <v>114</v>
      </c>
      <c r="I355" s="2"/>
      <c r="J355" s="2"/>
      <c r="K355" s="2"/>
      <c r="L355" s="2"/>
    </row>
    <row r="356" spans="1:12" ht="50.1" customHeight="1" x14ac:dyDescent="0.25">
      <c r="A356" s="3" t="s">
        <v>473</v>
      </c>
      <c r="B356" s="2" t="s">
        <v>474</v>
      </c>
      <c r="C356" s="2"/>
      <c r="D356" s="2" t="s">
        <v>15</v>
      </c>
      <c r="E356" s="4" t="str">
        <f>IF(ISERROR("ONTD_P6"),"",HYPERLINK("#INDEX('Value Lookup'!A:A,MATCH(A" &amp; ROW() &amp; ",'Value Lookup'!A:A,0))","Value Lookup"))</f>
        <v>Value Lookup</v>
      </c>
      <c r="F356" s="4" t="str">
        <f>IF(ISERROR("ONTD_P6"),"",HYPERLINK("#INDEX('Frequencies'!A:A,MATCH(A" &amp; ROW() &amp; ",'Frequencies'!A:A,0))","Frequencies"))</f>
        <v>Frequencies</v>
      </c>
      <c r="G356" s="2"/>
      <c r="H356" s="2"/>
      <c r="I356" s="2"/>
      <c r="J356" s="2">
        <v>107</v>
      </c>
      <c r="K356" s="2"/>
      <c r="L356" s="2"/>
    </row>
    <row r="357" spans="1:12" ht="50.1" customHeight="1" x14ac:dyDescent="0.25">
      <c r="A357" s="3" t="s">
        <v>475</v>
      </c>
      <c r="B357" s="2" t="s">
        <v>476</v>
      </c>
      <c r="C357" s="2"/>
      <c r="D357" s="2" t="s">
        <v>15</v>
      </c>
      <c r="E357" s="4" t="str">
        <f>IF(ISERROR("ONTD_P7"),"",HYPERLINK("#INDEX('Value Lookup'!A:A,MATCH(A" &amp; ROW() &amp; ",'Value Lookup'!A:A,0))","Value Lookup"))</f>
        <v>Value Lookup</v>
      </c>
      <c r="F357" s="4" t="str">
        <f>IF(ISERROR("ONTD_P7"),"",HYPERLINK("#INDEX('Frequencies'!A:A,MATCH(A" &amp; ROW() &amp; ",'Frequencies'!A:A,0))","Frequencies"))</f>
        <v>Frequencies</v>
      </c>
      <c r="G357" s="2"/>
      <c r="H357" s="2"/>
      <c r="I357" s="2"/>
      <c r="J357" s="2">
        <v>108</v>
      </c>
      <c r="K357" s="2"/>
      <c r="L357" s="2"/>
    </row>
    <row r="358" spans="1:12" ht="50.1" hidden="1" customHeight="1" x14ac:dyDescent="0.25">
      <c r="A358" s="3" t="s">
        <v>386</v>
      </c>
      <c r="B358" s="2" t="s">
        <v>387</v>
      </c>
      <c r="C358" s="2" t="s">
        <v>388</v>
      </c>
      <c r="D358" s="2" t="s">
        <v>15</v>
      </c>
      <c r="E358" s="4" t="str">
        <f>IF(ISERROR("MCA8_OS"),"",HYPERLINK("#INDEX('Value Lookup'!A:A,MATCH(A" &amp; ROW() &amp; ",'Value Lookup'!A:A,0))","Value Lookup"))</f>
        <v>Value Lookup</v>
      </c>
      <c r="F358" s="4" t="str">
        <f>IF(ISERROR("MCA8_OS"),"",HYPERLINK("#INDEX('Frequencies'!A:A,MATCH(A" &amp; ROW() &amp; ",'Frequencies'!A:A,0))","Frequencies"))</f>
        <v>Frequencies</v>
      </c>
      <c r="G358" s="2"/>
      <c r="H358" s="2">
        <v>115</v>
      </c>
      <c r="I358" s="2"/>
      <c r="J358" s="2"/>
      <c r="K358" s="2"/>
      <c r="L358" s="2"/>
    </row>
    <row r="359" spans="1:12" ht="50.1" hidden="1" customHeight="1" x14ac:dyDescent="0.25">
      <c r="A359" s="3" t="s">
        <v>295</v>
      </c>
      <c r="B359" s="2" t="s">
        <v>296</v>
      </c>
      <c r="C359" s="2"/>
      <c r="D359" s="2" t="s">
        <v>41</v>
      </c>
      <c r="E359" s="2" t="str">
        <f>IF(ISERROR("HTRESDN17"),"","NA")</f>
        <v>NA</v>
      </c>
      <c r="F359" s="4" t="str">
        <f>IF(ISERROR("HTRESDN17"),"",HYPERLINK("#INDEX('Frequencies'!A:A,MATCH(A" &amp; ROW() &amp; ",'Frequencies'!A:A,0))","Frequencies"))</f>
        <v>Frequencies</v>
      </c>
      <c r="G359" s="2">
        <v>95</v>
      </c>
      <c r="H359" s="2"/>
      <c r="I359" s="2"/>
      <c r="J359" s="2"/>
      <c r="K359" s="2"/>
      <c r="L359" s="2"/>
    </row>
    <row r="360" spans="1:12" ht="50.1" hidden="1" customHeight="1" x14ac:dyDescent="0.25">
      <c r="A360" s="3" t="s">
        <v>618</v>
      </c>
      <c r="B360" s="2" t="s">
        <v>619</v>
      </c>
      <c r="C360" s="2"/>
      <c r="D360" s="2" t="s">
        <v>15</v>
      </c>
      <c r="E360" s="4" t="str">
        <f>IF(ISERROR("SPONSCHG"),"",HYPERLINK("#INDEX('Value Lookup'!A:A,MATCH(A" &amp; ROW() &amp; ",'Value Lookup'!A:A,0))","Value Lookup"))</f>
        <v>Value Lookup</v>
      </c>
      <c r="F360" s="4" t="str">
        <f>IF(ISERROR("SPONSCHG"),"",HYPERLINK("#INDEX('Frequencies'!A:A,MATCH(A" &amp; ROW() &amp; ",'Frequencies'!A:A,0))","Frequencies"))</f>
        <v>Frequencies</v>
      </c>
      <c r="G360" s="2">
        <v>96</v>
      </c>
      <c r="H360" s="2"/>
      <c r="I360" s="2"/>
      <c r="J360" s="2"/>
      <c r="K360" s="2"/>
      <c r="L360" s="2"/>
    </row>
    <row r="361" spans="1:12" ht="50.1" hidden="1" customHeight="1" x14ac:dyDescent="0.25">
      <c r="A361" s="3" t="s">
        <v>389</v>
      </c>
      <c r="B361" s="2" t="s">
        <v>390</v>
      </c>
      <c r="C361" s="2" t="s">
        <v>391</v>
      </c>
      <c r="D361" s="2" t="s">
        <v>15</v>
      </c>
      <c r="E361" s="4" t="str">
        <f>IF(ISERROR("MCA8_OTH"),"",HYPERLINK("#INDEX('Value Lookup'!A:A,MATCH(A" &amp; ROW() &amp; ",'Value Lookup'!A:A,0))","Value Lookup"))</f>
        <v>Value Lookup</v>
      </c>
      <c r="F361" s="4" t="str">
        <f>IF(ISERROR("MCA8_OTH"),"",HYPERLINK("#INDEX('Frequencies'!A:A,MATCH(A" &amp; ROW() &amp; ",'Frequencies'!A:A,0))","Frequencies"))</f>
        <v>Frequencies</v>
      </c>
      <c r="G361" s="2"/>
      <c r="H361" s="2">
        <v>116</v>
      </c>
      <c r="I361" s="2"/>
      <c r="J361" s="2"/>
      <c r="K361" s="2"/>
      <c r="L361" s="2"/>
    </row>
    <row r="362" spans="1:12" ht="50.1" hidden="1" customHeight="1" x14ac:dyDescent="0.25">
      <c r="A362" s="3" t="s">
        <v>129</v>
      </c>
      <c r="B362" s="2" t="s">
        <v>130</v>
      </c>
      <c r="C362" s="2" t="s">
        <v>112</v>
      </c>
      <c r="D362" s="2" t="s">
        <v>15</v>
      </c>
      <c r="E362" s="4" t="str">
        <f>IF(ISERROR("CONDTRAV"),"",HYPERLINK("#INDEX('Value Lookup'!A:A,MATCH(A" &amp; ROW() &amp; ",'Value Lookup'!A:A,0))","Value Lookup"))</f>
        <v>Value Lookup</v>
      </c>
      <c r="F362" s="4" t="str">
        <f>IF(ISERROR("CONDTRAV"),"",HYPERLINK("#INDEX('Frequencies'!A:A,MATCH(A" &amp; ROW() &amp; ",'Frequencies'!A:A,0))","Frequencies"))</f>
        <v>Frequencies</v>
      </c>
      <c r="G362" s="2"/>
      <c r="H362" s="2">
        <v>117</v>
      </c>
      <c r="I362" s="2"/>
      <c r="J362" s="2"/>
      <c r="K362" s="2"/>
      <c r="L362" s="2"/>
    </row>
    <row r="363" spans="1:12" ht="50.1" hidden="1" customHeight="1" x14ac:dyDescent="0.25">
      <c r="A363" s="3" t="s">
        <v>121</v>
      </c>
      <c r="B363" s="2" t="s">
        <v>122</v>
      </c>
      <c r="C363" s="2" t="s">
        <v>112</v>
      </c>
      <c r="D363" s="2" t="s">
        <v>15</v>
      </c>
      <c r="E363" s="4" t="str">
        <f>IF(ISERROR("CONDRIDE"),"",HYPERLINK("#INDEX('Value Lookup'!A:A,MATCH(A" &amp; ROW() &amp; ",'Value Lookup'!A:A,0))","Value Lookup"))</f>
        <v>Value Lookup</v>
      </c>
      <c r="F363" s="4" t="str">
        <f>IF(ISERROR("CONDRIDE"),"",HYPERLINK("#INDEX('Frequencies'!A:A,MATCH(A" &amp; ROW() &amp; ",'Frequencies'!A:A,0))","Frequencies"))</f>
        <v>Frequencies</v>
      </c>
      <c r="G363" s="2"/>
      <c r="H363" s="2">
        <v>118</v>
      </c>
      <c r="I363" s="2"/>
      <c r="J363" s="2"/>
      <c r="K363" s="2"/>
      <c r="L363" s="2"/>
    </row>
    <row r="364" spans="1:12" ht="50.1" hidden="1" customHeight="1" x14ac:dyDescent="0.25">
      <c r="A364" s="3" t="s">
        <v>113</v>
      </c>
      <c r="B364" s="2" t="s">
        <v>114</v>
      </c>
      <c r="C364" s="2" t="s">
        <v>112</v>
      </c>
      <c r="D364" s="2" t="s">
        <v>15</v>
      </c>
      <c r="E364" s="4" t="str">
        <f>IF(ISERROR("CONDNIGH"),"",HYPERLINK("#INDEX('Value Lookup'!A:A,MATCH(A" &amp; ROW() &amp; ",'Value Lookup'!A:A,0))","Value Lookup"))</f>
        <v>Value Lookup</v>
      </c>
      <c r="F364" s="4" t="str">
        <f>IF(ISERROR("CONDNIGH"),"",HYPERLINK("#INDEX('Frequencies'!A:A,MATCH(A" &amp; ROW() &amp; ",'Frequencies'!A:A,0))","Frequencies"))</f>
        <v>Frequencies</v>
      </c>
      <c r="G364" s="2"/>
      <c r="H364" s="2">
        <v>119</v>
      </c>
      <c r="I364" s="2"/>
      <c r="J364" s="2"/>
      <c r="K364" s="2"/>
      <c r="L364" s="2"/>
    </row>
    <row r="365" spans="1:12" ht="50.1" hidden="1" customHeight="1" x14ac:dyDescent="0.25">
      <c r="A365" s="3" t="s">
        <v>123</v>
      </c>
      <c r="B365" s="2" t="s">
        <v>124</v>
      </c>
      <c r="C365" s="2" t="s">
        <v>112</v>
      </c>
      <c r="D365" s="2" t="s">
        <v>15</v>
      </c>
      <c r="E365" s="4" t="str">
        <f>IF(ISERROR("CONDRIVE"),"",HYPERLINK("#INDEX('Value Lookup'!A:A,MATCH(A" &amp; ROW() &amp; ",'Value Lookup'!A:A,0))","Value Lookup"))</f>
        <v>Value Lookup</v>
      </c>
      <c r="F365" s="4" t="str">
        <f>IF(ISERROR("CONDRIVE"),"",HYPERLINK("#INDEX('Frequencies'!A:A,MATCH(A" &amp; ROW() &amp; ",'Frequencies'!A:A,0))","Frequencies"))</f>
        <v>Frequencies</v>
      </c>
      <c r="G365" s="2"/>
      <c r="H365" s="2">
        <v>120</v>
      </c>
      <c r="I365" s="2"/>
      <c r="J365" s="2"/>
      <c r="K365" s="2"/>
      <c r="L365" s="2"/>
    </row>
    <row r="366" spans="1:12" ht="50.1" hidden="1" customHeight="1" x14ac:dyDescent="0.25">
      <c r="A366" s="3" t="s">
        <v>117</v>
      </c>
      <c r="B366" s="2" t="s">
        <v>118</v>
      </c>
      <c r="C366" s="2" t="s">
        <v>112</v>
      </c>
      <c r="D366" s="2" t="s">
        <v>15</v>
      </c>
      <c r="E366" s="4" t="str">
        <f>IF(ISERROR("CONDPUB"),"",HYPERLINK("#INDEX('Value Lookup'!A:A,MATCH(A" &amp; ROW() &amp; ",'Value Lookup'!A:A,0))","Value Lookup"))</f>
        <v>Value Lookup</v>
      </c>
      <c r="F366" s="4" t="str">
        <f>IF(ISERROR("CONDPUB"),"",HYPERLINK("#INDEX('Frequencies'!A:A,MATCH(A" &amp; ROW() &amp; ",'Frequencies'!A:A,0))","Frequencies"))</f>
        <v>Frequencies</v>
      </c>
      <c r="G366" s="2"/>
      <c r="H366" s="2">
        <v>121</v>
      </c>
      <c r="I366" s="2"/>
      <c r="J366" s="2"/>
      <c r="K366" s="2"/>
      <c r="L366" s="2"/>
    </row>
    <row r="367" spans="1:12" ht="50.1" hidden="1" customHeight="1" x14ac:dyDescent="0.25">
      <c r="A367" s="3" t="s">
        <v>125</v>
      </c>
      <c r="B367" s="2" t="s">
        <v>126</v>
      </c>
      <c r="C367" s="2" t="s">
        <v>112</v>
      </c>
      <c r="D367" s="2" t="s">
        <v>15</v>
      </c>
      <c r="E367" s="4" t="str">
        <f>IF(ISERROR("CONDSPEC"),"",HYPERLINK("#INDEX('Value Lookup'!A:A,MATCH(A" &amp; ROW() &amp; ",'Value Lookup'!A:A,0))","Value Lookup"))</f>
        <v>Value Lookup</v>
      </c>
      <c r="F367" s="4" t="str">
        <f>IF(ISERROR("CONDSPEC"),"",HYPERLINK("#INDEX('Frequencies'!A:A,MATCH(A" &amp; ROW() &amp; ",'Frequencies'!A:A,0))","Frequencies"))</f>
        <v>Frequencies</v>
      </c>
      <c r="G367" s="2"/>
      <c r="H367" s="2">
        <v>122</v>
      </c>
      <c r="I367" s="2"/>
      <c r="J367" s="2"/>
      <c r="K367" s="2"/>
      <c r="L367" s="2"/>
    </row>
    <row r="368" spans="1:12" ht="50.1" hidden="1" customHeight="1" x14ac:dyDescent="0.25">
      <c r="A368" s="3" t="s">
        <v>127</v>
      </c>
      <c r="B368" s="2" t="s">
        <v>128</v>
      </c>
      <c r="C368" s="2" t="s">
        <v>112</v>
      </c>
      <c r="D368" s="2" t="s">
        <v>15</v>
      </c>
      <c r="E368" s="4" t="str">
        <f>IF(ISERROR("CONDTAX"),"",HYPERLINK("#INDEX('Value Lookup'!A:A,MATCH(A" &amp; ROW() &amp; ",'Value Lookup'!A:A,0))","Value Lookup"))</f>
        <v>Value Lookup</v>
      </c>
      <c r="F368" s="4" t="str">
        <f>IF(ISERROR("CONDTAX"),"",HYPERLINK("#INDEX('Frequencies'!A:A,MATCH(A" &amp; ROW() &amp; ",'Frequencies'!A:A,0))","Frequencies"))</f>
        <v>Frequencies</v>
      </c>
      <c r="G368" s="2"/>
      <c r="H368" s="2">
        <v>123</v>
      </c>
      <c r="I368" s="2"/>
      <c r="J368" s="2"/>
      <c r="K368" s="2"/>
      <c r="L368" s="2"/>
    </row>
    <row r="369" spans="1:12" ht="50.1" hidden="1" customHeight="1" x14ac:dyDescent="0.25">
      <c r="A369" s="3" t="s">
        <v>115</v>
      </c>
      <c r="B369" s="2" t="s">
        <v>116</v>
      </c>
      <c r="C369" s="2" t="s">
        <v>112</v>
      </c>
      <c r="D369" s="2" t="s">
        <v>15</v>
      </c>
      <c r="E369" s="4" t="str">
        <f>IF(ISERROR("CONDNONE"),"",HYPERLINK("#INDEX('Value Lookup'!A:A,MATCH(A" &amp; ROW() &amp; ",'Value Lookup'!A:A,0))","Value Lookup"))</f>
        <v>Value Lookup</v>
      </c>
      <c r="F369" s="4" t="str">
        <f>IF(ISERROR("CONDNONE"),"",HYPERLINK("#INDEX('Frequencies'!A:A,MATCH(A" &amp; ROW() &amp; ",'Frequencies'!A:A,0))","Frequencies"))</f>
        <v>Frequencies</v>
      </c>
      <c r="G369" s="2"/>
      <c r="H369" s="2">
        <v>124</v>
      </c>
      <c r="I369" s="2"/>
      <c r="J369" s="2"/>
      <c r="K369" s="2"/>
      <c r="L369" s="2"/>
    </row>
    <row r="370" spans="1:12" ht="50.1" hidden="1" customHeight="1" x14ac:dyDescent="0.25">
      <c r="A370" s="3" t="s">
        <v>110</v>
      </c>
      <c r="B370" s="2" t="s">
        <v>111</v>
      </c>
      <c r="C370" s="2" t="s">
        <v>112</v>
      </c>
      <c r="D370" s="2" t="s">
        <v>15</v>
      </c>
      <c r="E370" s="4" t="str">
        <f>IF(ISERROR("CONDDK"),"",HYPERLINK("#INDEX('Value Lookup'!A:A,MATCH(A" &amp; ROW() &amp; ",'Value Lookup'!A:A,0))","Value Lookup"))</f>
        <v>Value Lookup</v>
      </c>
      <c r="F370" s="4" t="str">
        <f>IF(ISERROR("CONDDK"),"",HYPERLINK("#INDEX('Frequencies'!A:A,MATCH(A" &amp; ROW() &amp; ",'Frequencies'!A:A,0))","Frequencies"))</f>
        <v>Frequencies</v>
      </c>
      <c r="G370" s="2"/>
      <c r="H370" s="2">
        <v>125</v>
      </c>
      <c r="I370" s="2"/>
      <c r="J370" s="2"/>
      <c r="K370" s="2"/>
      <c r="L370" s="2"/>
    </row>
    <row r="371" spans="1:12" ht="50.1" hidden="1" customHeight="1" x14ac:dyDescent="0.25">
      <c r="A371" s="3" t="s">
        <v>119</v>
      </c>
      <c r="B371" s="2" t="s">
        <v>120</v>
      </c>
      <c r="C371" s="2" t="s">
        <v>112</v>
      </c>
      <c r="D371" s="2" t="s">
        <v>15</v>
      </c>
      <c r="E371" s="4" t="str">
        <f>IF(ISERROR("CONDRF"),"",HYPERLINK("#INDEX('Value Lookup'!A:A,MATCH(A" &amp; ROW() &amp; ",'Value Lookup'!A:A,0))","Value Lookup"))</f>
        <v>Value Lookup</v>
      </c>
      <c r="F371" s="4" t="str">
        <f>IF(ISERROR("CONDRF"),"",HYPERLINK("#INDEX('Frequencies'!A:A,MATCH(A" &amp; ROW() &amp; ",'Frequencies'!A:A,0))","Frequencies"))</f>
        <v>Frequencies</v>
      </c>
      <c r="G371" s="2"/>
      <c r="H371" s="2">
        <v>126</v>
      </c>
      <c r="I371" s="2"/>
      <c r="J371" s="2"/>
      <c r="K371" s="2"/>
      <c r="L371" s="2"/>
    </row>
    <row r="372" spans="1:12" ht="50.1" hidden="1" customHeight="1" x14ac:dyDescent="0.25">
      <c r="A372" s="3" t="s">
        <v>529</v>
      </c>
      <c r="B372" s="2" t="s">
        <v>530</v>
      </c>
      <c r="C372" s="2"/>
      <c r="D372" s="2" t="s">
        <v>15</v>
      </c>
      <c r="E372" s="4" t="str">
        <f>IF(ISERROR("QC_LOC"),"",HYPERLINK("#INDEX('Value Lookup'!A:A,MATCH(A" &amp; ROW() &amp; ",'Value Lookup'!A:A,0))","Value Lookup"))</f>
        <v>Value Lookup</v>
      </c>
      <c r="F372" s="4" t="str">
        <f>IF(ISERROR("QC_LOC"),"",HYPERLINK("#INDEX('Frequencies'!A:A,MATCH(A" &amp; ROW() &amp; ",'Frequencies'!A:A,0))","Frequencies"))</f>
        <v>Frequencies</v>
      </c>
      <c r="G372" s="2"/>
      <c r="H372" s="2">
        <v>127</v>
      </c>
      <c r="I372" s="2"/>
      <c r="J372" s="2"/>
      <c r="K372" s="2"/>
      <c r="L372" s="2"/>
    </row>
    <row r="373" spans="1:12" ht="50.1" hidden="1" customHeight="1" x14ac:dyDescent="0.25">
      <c r="A373" s="3" t="s">
        <v>527</v>
      </c>
      <c r="B373" s="2" t="s">
        <v>528</v>
      </c>
      <c r="C373" s="2"/>
      <c r="D373" s="2" t="s">
        <v>15</v>
      </c>
      <c r="E373" s="4" t="str">
        <f>IF(ISERROR("QC_JOINT"),"",HYPERLINK("#INDEX('Value Lookup'!A:A,MATCH(A" &amp; ROW() &amp; ",'Value Lookup'!A:A,0))","Value Lookup"))</f>
        <v>Value Lookup</v>
      </c>
      <c r="F373" s="4" t="str">
        <f>IF(ISERROR("QC_JOINT"),"",HYPERLINK("#INDEX('Frequencies'!A:A,MATCH(A" &amp; ROW() &amp; ",'Frequencies'!A:A,0))","Frequencies"))</f>
        <v>Frequencies</v>
      </c>
      <c r="G373" s="2"/>
      <c r="H373" s="2">
        <v>128</v>
      </c>
      <c r="I373" s="2"/>
      <c r="J373" s="2"/>
      <c r="K373" s="2"/>
      <c r="L373" s="2"/>
    </row>
    <row r="374" spans="1:12" ht="50.1" hidden="1" customHeight="1" x14ac:dyDescent="0.25">
      <c r="A374" s="3" t="s">
        <v>533</v>
      </c>
      <c r="B374" s="2" t="s">
        <v>534</v>
      </c>
      <c r="C374" s="2"/>
      <c r="D374" s="2" t="s">
        <v>15</v>
      </c>
      <c r="E374" s="4" t="str">
        <f>IF(ISERROR("QC_TIME"),"",HYPERLINK("#INDEX('Value Lookup'!A:A,MATCH(A" &amp; ROW() &amp; ",'Value Lookup'!A:A,0))","Value Lookup"))</f>
        <v>Value Lookup</v>
      </c>
      <c r="F374" s="4" t="str">
        <f>IF(ISERROR("QC_TIME"),"",HYPERLINK("#INDEX('Frequencies'!A:A,MATCH(A" &amp; ROW() &amp; ",'Frequencies'!A:A,0))","Frequencies"))</f>
        <v>Frequencies</v>
      </c>
      <c r="G374" s="2"/>
      <c r="H374" s="2">
        <v>129</v>
      </c>
      <c r="I374" s="2"/>
      <c r="J374" s="2"/>
      <c r="K374" s="2"/>
      <c r="L374" s="2"/>
    </row>
    <row r="375" spans="1:12" ht="50.1" hidden="1" customHeight="1" x14ac:dyDescent="0.25">
      <c r="A375" s="3" t="s">
        <v>887</v>
      </c>
      <c r="B375" s="2" t="s">
        <v>888</v>
      </c>
      <c r="C375" s="2"/>
      <c r="D375" s="2" t="s">
        <v>15</v>
      </c>
      <c r="E375" s="4" t="str">
        <f>IF(ISERROR("WEBUSE17"),"",HYPERLINK("#INDEX('Value Lookup'!A:A,MATCH(A" &amp; ROW() &amp; ",'Value Lookup'!A:A,0))","Value Lookup"))</f>
        <v>Value Lookup</v>
      </c>
      <c r="F375" s="4" t="str">
        <f>IF(ISERROR("WEBUSE17"),"",HYPERLINK("#INDEX('Frequencies'!A:A,MATCH(A" &amp; ROW() &amp; ",'Frequencies'!A:A,0))","Frequencies"))</f>
        <v>Frequencies</v>
      </c>
      <c r="G375" s="2">
        <v>97</v>
      </c>
      <c r="H375" s="2"/>
      <c r="I375" s="2"/>
      <c r="J375" s="2"/>
      <c r="K375" s="2"/>
      <c r="L375" s="2"/>
    </row>
    <row r="376" spans="1:12" ht="50.1" customHeight="1" x14ac:dyDescent="0.25">
      <c r="A376" s="3" t="s">
        <v>477</v>
      </c>
      <c r="B376" s="2" t="s">
        <v>478</v>
      </c>
      <c r="C376" s="2"/>
      <c r="D376" s="2" t="s">
        <v>15</v>
      </c>
      <c r="E376" s="4" t="str">
        <f>IF(ISERROR("ONTD_P8"),"",HYPERLINK("#INDEX('Value Lookup'!A:A,MATCH(A" &amp; ROW() &amp; ",'Value Lookup'!A:A,0))","Value Lookup"))</f>
        <v>Value Lookup</v>
      </c>
      <c r="F376" s="4" t="str">
        <f>IF(ISERROR("ONTD_P8"),"",HYPERLINK("#INDEX('Frequencies'!A:A,MATCH(A" &amp; ROW() &amp; ",'Frequencies'!A:A,0))","Frequencies"))</f>
        <v>Frequencies</v>
      </c>
      <c r="G376" s="2"/>
      <c r="H376" s="2"/>
      <c r="I376" s="2"/>
      <c r="J376" s="2">
        <v>109</v>
      </c>
      <c r="K376" s="2"/>
      <c r="L376" s="2"/>
    </row>
    <row r="377" spans="1:12" ht="50.1" hidden="1" customHeight="1" x14ac:dyDescent="0.25">
      <c r="A377" s="3" t="s">
        <v>297</v>
      </c>
      <c r="B377" s="2" t="s">
        <v>298</v>
      </c>
      <c r="C377" s="2"/>
      <c r="D377" s="2" t="s">
        <v>15</v>
      </c>
      <c r="E377" s="4" t="str">
        <f>IF(ISERROR("HYBRID"),"",HYPERLINK("#INDEX('Value Lookup'!A:A,MATCH(A" &amp; ROW() &amp; ",'Value Lookup'!A:A,0))","Value Lookup"))</f>
        <v>Value Lookup</v>
      </c>
      <c r="F377" s="4" t="str">
        <f>IF(ISERROR("HYBRID"),"",HYPERLINK("#INDEX('Frequencies'!A:A,MATCH(A" &amp; ROW() &amp; ",'Frequencies'!A:A,0))","Frequencies"))</f>
        <v>Frequencies</v>
      </c>
      <c r="G377" s="2"/>
      <c r="H377" s="2"/>
      <c r="I377" s="2">
        <v>30</v>
      </c>
      <c r="J377" s="2"/>
      <c r="K377" s="2"/>
      <c r="L377" s="2"/>
    </row>
    <row r="378" spans="1:12" ht="50.1" hidden="1" customHeight="1" x14ac:dyDescent="0.25">
      <c r="A378" s="3" t="s">
        <v>531</v>
      </c>
      <c r="B378" s="2" t="s">
        <v>532</v>
      </c>
      <c r="C378" s="2"/>
      <c r="D378" s="2" t="s">
        <v>15</v>
      </c>
      <c r="E378" s="4" t="str">
        <f>IF(ISERROR("QC_LOOP"),"",HYPERLINK("#INDEX('Value Lookup'!A:A,MATCH(A" &amp; ROW() &amp; ",'Value Lookup'!A:A,0))","Value Lookup"))</f>
        <v>Value Lookup</v>
      </c>
      <c r="F378" s="4" t="str">
        <f>IF(ISERROR("QC_LOOP"),"",HYPERLINK("#INDEX('Frequencies'!A:A,MATCH(A" &amp; ROW() &amp; ",'Frequencies'!A:A,0))","Frequencies"))</f>
        <v>Frequencies</v>
      </c>
      <c r="G378" s="2"/>
      <c r="H378" s="2">
        <v>130</v>
      </c>
      <c r="I378" s="2"/>
      <c r="J378" s="2"/>
      <c r="K378" s="2"/>
      <c r="L378" s="2"/>
    </row>
    <row r="379" spans="1:12" ht="50.1" customHeight="1" x14ac:dyDescent="0.25">
      <c r="A379" s="3" t="s">
        <v>479</v>
      </c>
      <c r="B379" s="2" t="s">
        <v>480</v>
      </c>
      <c r="C379" s="2"/>
      <c r="D379" s="2" t="s">
        <v>15</v>
      </c>
      <c r="E379" s="4" t="str">
        <f>IF(ISERROR("ONTD_P9"),"",HYPERLINK("#INDEX('Value Lookup'!A:A,MATCH(A" &amp; ROW() &amp; ",'Value Lookup'!A:A,0))","Value Lookup"))</f>
        <v>Value Lookup</v>
      </c>
      <c r="F379" s="4" t="str">
        <f>IF(ISERROR("ONTD_P9"),"",HYPERLINK("#INDEX('Frequencies'!A:A,MATCH(A" &amp; ROW() &amp; ",'Frequencies'!A:A,0))","Frequencies"))</f>
        <v>Frequencies</v>
      </c>
      <c r="G379" s="2"/>
      <c r="H379" s="2"/>
      <c r="I379" s="2"/>
      <c r="J379" s="2">
        <v>110</v>
      </c>
      <c r="K379" s="2"/>
      <c r="L379" s="2"/>
    </row>
    <row r="380" spans="1:12" ht="50.1" customHeight="1" x14ac:dyDescent="0.25">
      <c r="A380" s="3" t="s">
        <v>453</v>
      </c>
      <c r="B380" s="2" t="s">
        <v>454</v>
      </c>
      <c r="C380" s="2"/>
      <c r="D380" s="2" t="s">
        <v>15</v>
      </c>
      <c r="E380" s="4" t="str">
        <f>IF(ISERROR("ONTD_P10"),"",HYPERLINK("#INDEX('Value Lookup'!A:A,MATCH(A" &amp; ROW() &amp; ",'Value Lookup'!A:A,0))","Value Lookup"))</f>
        <v>Value Lookup</v>
      </c>
      <c r="F380" s="4" t="str">
        <f>IF(ISERROR("ONTD_P10"),"",HYPERLINK("#INDEX('Frequencies'!A:A,MATCH(A" &amp; ROW() &amp; ",'Frequencies'!A:A,0))","Frequencies"))</f>
        <v>Frequencies</v>
      </c>
      <c r="G380" s="2"/>
      <c r="H380" s="2"/>
      <c r="I380" s="2"/>
      <c r="J380" s="2">
        <v>111</v>
      </c>
      <c r="K380" s="2"/>
      <c r="L380" s="2"/>
    </row>
    <row r="381" spans="1:12" ht="50.1" customHeight="1" x14ac:dyDescent="0.25">
      <c r="A381" s="3" t="s">
        <v>455</v>
      </c>
      <c r="B381" s="2" t="s">
        <v>456</v>
      </c>
      <c r="C381" s="2"/>
      <c r="D381" s="2" t="s">
        <v>15</v>
      </c>
      <c r="E381" s="4" t="str">
        <f>IF(ISERROR("ONTD_P11"),"",HYPERLINK("#INDEX('Value Lookup'!A:A,MATCH(A" &amp; ROW() &amp; ",'Value Lookup'!A:A,0))","Value Lookup"))</f>
        <v>Value Lookup</v>
      </c>
      <c r="F381" s="4" t="str">
        <f>IF(ISERROR("ONTD_P11"),"",HYPERLINK("#INDEX('Frequencies'!A:A,MATCH(A" &amp; ROW() &amp; ",'Frequencies'!A:A,0))","Frequencies"))</f>
        <v>Frequencies</v>
      </c>
      <c r="G381" s="2"/>
      <c r="H381" s="2"/>
      <c r="I381" s="2"/>
      <c r="J381" s="2">
        <v>112</v>
      </c>
      <c r="K381" s="2"/>
      <c r="L381" s="2"/>
    </row>
    <row r="382" spans="1:12" ht="50.1" customHeight="1" x14ac:dyDescent="0.25">
      <c r="A382" s="3" t="s">
        <v>457</v>
      </c>
      <c r="B382" s="2" t="s">
        <v>458</v>
      </c>
      <c r="C382" s="2"/>
      <c r="D382" s="2" t="s">
        <v>15</v>
      </c>
      <c r="E382" s="4" t="str">
        <f>IF(ISERROR("ONTD_P12"),"",HYPERLINK("#INDEX('Value Lookup'!A:A,MATCH(A" &amp; ROW() &amp; ",'Value Lookup'!A:A,0))","Value Lookup"))</f>
        <v>Value Lookup</v>
      </c>
      <c r="F382" s="4" t="str">
        <f>IF(ISERROR("ONTD_P12"),"",HYPERLINK("#INDEX('Frequencies'!A:A,MATCH(A" &amp; ROW() &amp; ",'Frequencies'!A:A,0))","Frequencies"))</f>
        <v>Frequencies</v>
      </c>
      <c r="G382" s="2"/>
      <c r="H382" s="2"/>
      <c r="I382" s="2"/>
      <c r="J382" s="2">
        <v>113</v>
      </c>
      <c r="K382" s="2"/>
      <c r="L382" s="2"/>
    </row>
    <row r="383" spans="1:12" ht="50.1" customHeight="1" x14ac:dyDescent="0.25">
      <c r="A383" s="3" t="s">
        <v>459</v>
      </c>
      <c r="B383" s="2" t="s">
        <v>460</v>
      </c>
      <c r="C383" s="2"/>
      <c r="D383" s="2" t="s">
        <v>15</v>
      </c>
      <c r="E383" s="4" t="str">
        <f>IF(ISERROR("ONTD_P13"),"",HYPERLINK("#INDEX('Value Lookup'!A:A,MATCH(A" &amp; ROW() &amp; ",'Value Lookup'!A:A,0))","Value Lookup"))</f>
        <v>Value Lookup</v>
      </c>
      <c r="F383" s="4" t="str">
        <f>IF(ISERROR("ONTD_P13"),"",HYPERLINK("#INDEX('Frequencies'!A:A,MATCH(A" &amp; ROW() &amp; ",'Frequencies'!A:A,0))","Frequencies"))</f>
        <v>Frequencies</v>
      </c>
      <c r="G383" s="2"/>
      <c r="H383" s="2"/>
      <c r="I383" s="2"/>
      <c r="J383" s="2">
        <v>114</v>
      </c>
      <c r="K383" s="2"/>
      <c r="L383" s="2"/>
    </row>
    <row r="384" spans="1:12" ht="50.1" customHeight="1" x14ac:dyDescent="0.25">
      <c r="A384" s="3" t="s">
        <v>461</v>
      </c>
      <c r="B384" s="2" t="s">
        <v>462</v>
      </c>
      <c r="C384" s="2"/>
      <c r="D384" s="2" t="s">
        <v>15</v>
      </c>
      <c r="E384" s="4" t="str">
        <f>IF(ISERROR("ONTD_P14"),"",HYPERLINK("#INDEX('Value Lookup'!A:A,MATCH(A" &amp; ROW() &amp; ",'Value Lookup'!A:A,0))","Value Lookup"))</f>
        <v>Value Lookup</v>
      </c>
      <c r="F384" s="4" t="str">
        <f>IF(ISERROR("ONTD_P14"),"",HYPERLINK("#INDEX('Frequencies'!A:A,MATCH(A" &amp; ROW() &amp; ",'Frequencies'!A:A,0))","Frequencies"))</f>
        <v>Frequencies</v>
      </c>
      <c r="G384" s="2"/>
      <c r="H384" s="2"/>
      <c r="I384" s="2"/>
      <c r="J384" s="2">
        <v>115</v>
      </c>
      <c r="K384" s="2"/>
      <c r="L384" s="2"/>
    </row>
    <row r="385" spans="1:12" ht="50.1" customHeight="1" x14ac:dyDescent="0.25">
      <c r="A385" s="3" t="s">
        <v>463</v>
      </c>
      <c r="B385" s="2" t="s">
        <v>464</v>
      </c>
      <c r="C385" s="2"/>
      <c r="D385" s="2" t="s">
        <v>15</v>
      </c>
      <c r="E385" s="4" t="str">
        <f>IF(ISERROR("ONTD_P15"),"",HYPERLINK("#INDEX('Value Lookup'!A:A,MATCH(A" &amp; ROW() &amp; ",'Value Lookup'!A:A,0))","Value Lookup"))</f>
        <v>Value Lookup</v>
      </c>
      <c r="F385" s="4" t="str">
        <f>IF(ISERROR("ONTD_P15"),"",HYPERLINK("#INDEX('Frequencies'!A:A,MATCH(A" &amp; ROW() &amp; ",'Frequencies'!A:A,0))","Frequencies"))</f>
        <v>Frequencies</v>
      </c>
      <c r="G385" s="2"/>
      <c r="H385" s="2"/>
      <c r="I385" s="2"/>
      <c r="J385" s="2">
        <v>116</v>
      </c>
      <c r="K385" s="2"/>
      <c r="L385" s="2"/>
    </row>
    <row r="386" spans="1:12" ht="50.1" customHeight="1" x14ac:dyDescent="0.25">
      <c r="A386" s="3" t="s">
        <v>649</v>
      </c>
      <c r="B386" s="2" t="s">
        <v>650</v>
      </c>
      <c r="C386" s="2"/>
      <c r="D386" s="2" t="s">
        <v>15</v>
      </c>
      <c r="E386" s="2" t="str">
        <f>IF(ISERROR("TDCASEID"),"","NA")</f>
        <v>NA</v>
      </c>
      <c r="F386" s="4" t="str">
        <f>IF(ISERROR("TDCASEID"),"",HYPERLINK("#INDEX('Frequencies'!A:A,MATCH(A" &amp; ROW() &amp; ",'Frequencies'!A:A,0))","Frequencies"))</f>
        <v>Frequencies</v>
      </c>
      <c r="G386" s="2"/>
      <c r="H386" s="2"/>
      <c r="I386" s="2"/>
      <c r="J386" s="2">
        <v>117</v>
      </c>
      <c r="K386" s="2"/>
      <c r="L386" s="2"/>
    </row>
    <row r="387" spans="1:12" ht="50.1" hidden="1" customHeight="1" x14ac:dyDescent="0.25">
      <c r="A387" s="3" t="s">
        <v>525</v>
      </c>
      <c r="B387" s="2" t="s">
        <v>526</v>
      </c>
      <c r="C387" s="2"/>
      <c r="D387" s="2" t="s">
        <v>15</v>
      </c>
      <c r="E387" s="4" t="str">
        <f>IF(ISERROR("QC_DAY"),"",HYPERLINK("#INDEX('Value Lookup'!A:A,MATCH(A" &amp; ROW() &amp; ",'Value Lookup'!A:A,0))","Value Lookup"))</f>
        <v>Value Lookup</v>
      </c>
      <c r="F387" s="4" t="str">
        <f>IF(ISERROR("QC_DAY"),"",HYPERLINK("#INDEX('Frequencies'!A:A,MATCH(A" &amp; ROW() &amp; ",'Frequencies'!A:A,0))","Frequencies"))</f>
        <v>Frequencies</v>
      </c>
      <c r="G387" s="2"/>
      <c r="H387" s="2">
        <v>131</v>
      </c>
      <c r="I387" s="2"/>
      <c r="J387" s="2"/>
      <c r="K387" s="2"/>
      <c r="L387" s="2"/>
    </row>
    <row r="388" spans="1:12" ht="50.1" hidden="1" customHeight="1" x14ac:dyDescent="0.25">
      <c r="A388" s="3" t="s">
        <v>930</v>
      </c>
      <c r="B388" s="2" t="s">
        <v>931</v>
      </c>
      <c r="C388" s="2"/>
      <c r="D388" s="2" t="s">
        <v>15</v>
      </c>
      <c r="E388" s="4" t="str">
        <f>IF(ISERROR("WORKER"),"",HYPERLINK("#INDEX('Value Lookup'!A:A,MATCH(A" &amp; ROW() &amp; ",'Value Lookup'!A:A,0))","Value Lookup"))</f>
        <v>Value Lookup</v>
      </c>
      <c r="F388" s="4" t="str">
        <f>IF(ISERROR("WORKER"),"",HYPERLINK("#INDEX('Frequencies'!A:A,MATCH(A" &amp; ROW() &amp; ",'Frequencies'!A:A,0))","Frequencies"))</f>
        <v>Frequencies</v>
      </c>
      <c r="G388" s="2"/>
      <c r="H388" s="2">
        <v>132</v>
      </c>
      <c r="I388" s="2"/>
      <c r="J388" s="2"/>
      <c r="K388" s="2"/>
      <c r="L388" s="2"/>
    </row>
    <row r="389" spans="1:12" ht="50.1" hidden="1" customHeight="1" x14ac:dyDescent="0.25">
      <c r="A389" s="3" t="s">
        <v>138</v>
      </c>
      <c r="B389" s="2" t="s">
        <v>139</v>
      </c>
      <c r="C389" s="2"/>
      <c r="D389" s="2" t="s">
        <v>15</v>
      </c>
      <c r="E389" s="4" t="str">
        <f>IF(ISERROR("DIARY"),"",HYPERLINK("#INDEX('Value Lookup'!A:A,MATCH(A" &amp; ROW() &amp; ",'Value Lookup'!A:A,0))","Value Lookup"))</f>
        <v>Value Lookup</v>
      </c>
      <c r="F389" s="4" t="str">
        <f>IF(ISERROR("DIARY"),"",HYPERLINK("#INDEX('Frequencies'!A:A,MATCH(A" &amp; ROW() &amp; ",'Frequencies'!A:A,0))","Frequencies"))</f>
        <v>Frequencies</v>
      </c>
      <c r="G389" s="2"/>
      <c r="H389" s="2">
        <v>133</v>
      </c>
      <c r="I389" s="2"/>
      <c r="J389" s="2"/>
      <c r="K389" s="2"/>
      <c r="L389" s="2"/>
    </row>
    <row r="390" spans="1:12" ht="50.1" hidden="1" customHeight="1" x14ac:dyDescent="0.25">
      <c r="A390" s="3" t="s">
        <v>481</v>
      </c>
      <c r="B390" s="2" t="s">
        <v>482</v>
      </c>
      <c r="C390" s="2"/>
      <c r="D390" s="2" t="s">
        <v>15</v>
      </c>
      <c r="E390" s="4" t="str">
        <f>IF(ISERROR("OUTCNTRY"),"",HYPERLINK("#INDEX('Value Lookup'!A:A,MATCH(A" &amp; ROW() &amp; ",'Value Lookup'!A:A,0))","Value Lookup"))</f>
        <v>Value Lookup</v>
      </c>
      <c r="F390" s="4" t="str">
        <f>IF(ISERROR("OUTCNTRY"),"",HYPERLINK("#INDEX('Frequencies'!A:A,MATCH(A" &amp; ROW() &amp; ",'Frequencies'!A:A,0))","Frequencies"))</f>
        <v>Frequencies</v>
      </c>
      <c r="G390" s="2"/>
      <c r="H390" s="2">
        <v>134</v>
      </c>
      <c r="I390" s="2"/>
      <c r="J390" s="2"/>
      <c r="K390" s="2"/>
      <c r="L390" s="2"/>
    </row>
    <row r="391" spans="1:12" ht="50.1" hidden="1" customHeight="1" x14ac:dyDescent="0.25">
      <c r="A391" s="3" t="s">
        <v>191</v>
      </c>
      <c r="B391" s="2" t="s">
        <v>192</v>
      </c>
      <c r="C391" s="2"/>
      <c r="D391" s="2" t="s">
        <v>15</v>
      </c>
      <c r="E391" s="4" t="str">
        <f>IF(ISERROR("FRSTHM"),"",HYPERLINK("#INDEX('Value Lookup'!A:A,MATCH(A" &amp; ROW() &amp; ",'Value Lookup'!A:A,0))","Value Lookup"))</f>
        <v>Value Lookup</v>
      </c>
      <c r="F391" s="4" t="str">
        <f>IF(ISERROR("FRSTHM"),"",HYPERLINK("#INDEX('Frequencies'!A:A,MATCH(A" &amp; ROW() &amp; ",'Frequencies'!A:A,0))","Frequencies"))</f>
        <v>Frequencies</v>
      </c>
      <c r="G391" s="2"/>
      <c r="H391" s="2">
        <v>135</v>
      </c>
      <c r="I391" s="2"/>
      <c r="J391" s="2"/>
      <c r="K391" s="2"/>
      <c r="L391" s="2"/>
    </row>
    <row r="392" spans="1:12" ht="50.1" hidden="1" customHeight="1" x14ac:dyDescent="0.25">
      <c r="A392" s="3" t="s">
        <v>193</v>
      </c>
      <c r="B392" s="2" t="s">
        <v>194</v>
      </c>
      <c r="C392" s="2"/>
      <c r="D392" s="2" t="s">
        <v>15</v>
      </c>
      <c r="E392" s="4" t="str">
        <f>IF(ISERROR("FRSTHM17"),"",HYPERLINK("#INDEX('Value Lookup'!A:A,MATCH(A" &amp; ROW() &amp; ",'Value Lookup'!A:A,0))","Value Lookup"))</f>
        <v>Value Lookup</v>
      </c>
      <c r="F392" s="4" t="str">
        <f>IF(ISERROR("FRSTHM17"),"",HYPERLINK("#INDEX('Frequencies'!A:A,MATCH(A" &amp; ROW() &amp; ",'Frequencies'!A:A,0))","Frequencies"))</f>
        <v>Frequencies</v>
      </c>
      <c r="G392" s="2"/>
      <c r="H392" s="2">
        <v>136</v>
      </c>
      <c r="I392" s="2"/>
      <c r="J392" s="2"/>
      <c r="K392" s="2"/>
      <c r="L392" s="2"/>
    </row>
    <row r="393" spans="1:12" ht="50.1" hidden="1" customHeight="1" x14ac:dyDescent="0.25">
      <c r="A393" s="3" t="s">
        <v>106</v>
      </c>
      <c r="B393" s="2" t="s">
        <v>107</v>
      </c>
      <c r="C393" s="2"/>
      <c r="D393" s="2" t="s">
        <v>41</v>
      </c>
      <c r="E393" s="2" t="str">
        <f>IF(ISERROR("CNTTDTR"),"","NA")</f>
        <v>NA</v>
      </c>
      <c r="F393" s="4" t="str">
        <f>IF(ISERROR("CNTTDTR"),"",HYPERLINK("#INDEX('Frequencies'!A:A,MATCH(A" &amp; ROW() &amp; ",'Frequencies'!A:A,0))","Frequencies"))</f>
        <v>Frequencies</v>
      </c>
      <c r="G393" s="2"/>
      <c r="H393" s="2">
        <v>137</v>
      </c>
      <c r="I393" s="2"/>
      <c r="J393" s="2"/>
      <c r="K393" s="2"/>
      <c r="L393" s="2"/>
    </row>
    <row r="394" spans="1:12" ht="50.1" hidden="1" customHeight="1" x14ac:dyDescent="0.25">
      <c r="A394" s="3" t="s">
        <v>211</v>
      </c>
      <c r="B394" s="2" t="s">
        <v>212</v>
      </c>
      <c r="C394" s="2"/>
      <c r="D394" s="2" t="s">
        <v>41</v>
      </c>
      <c r="E394" s="4" t="str">
        <f>IF(ISERROR("GCDWORK"),"",HYPERLINK("#INDEX('Value Lookup'!A:A,MATCH(A" &amp; ROW() &amp; ",'Value Lookup'!A:A,0))","Value Lookup"))</f>
        <v>Value Lookup</v>
      </c>
      <c r="F394" s="4" t="str">
        <f>IF(ISERROR("GCDWORK"),"",HYPERLINK("#INDEX('Frequencies'!A:A,MATCH(A" &amp; ROW() &amp; ",'Frequencies'!A:A,0))","Frequencies"))</f>
        <v>Frequencies</v>
      </c>
      <c r="G394" s="2"/>
      <c r="H394" s="2">
        <v>138</v>
      </c>
      <c r="I394" s="2"/>
      <c r="J394" s="2"/>
      <c r="K394" s="2"/>
      <c r="L394" s="2"/>
    </row>
    <row r="395" spans="1:12" ht="50.1" hidden="1" customHeight="1" x14ac:dyDescent="0.25">
      <c r="A395" s="3" t="s">
        <v>924</v>
      </c>
      <c r="B395" s="2" t="s">
        <v>925</v>
      </c>
      <c r="C395" s="2"/>
      <c r="D395" s="2" t="s">
        <v>15</v>
      </c>
      <c r="E395" s="4" t="str">
        <f>IF(ISERROR("WKSTFIPS"),"",HYPERLINK("#INDEX('Value Lookup'!A:A,MATCH(A" &amp; ROW() &amp; ",'Value Lookup'!A:A,0))","Value Lookup"))</f>
        <v>Value Lookup</v>
      </c>
      <c r="F395" s="4" t="str">
        <f>IF(ISERROR("WKSTFIPS"),"",HYPERLINK("#INDEX('Frequencies'!A:A,MATCH(A" &amp; ROW() &amp; ",'Frequencies'!A:A,0))","Frequencies"))</f>
        <v>Frequencies</v>
      </c>
      <c r="G395" s="2"/>
      <c r="H395" s="2">
        <v>139</v>
      </c>
      <c r="I395" s="2"/>
      <c r="J395" s="2"/>
      <c r="K395" s="2"/>
      <c r="L395" s="2"/>
    </row>
    <row r="396" spans="1:12" ht="50.1" hidden="1" customHeight="1" x14ac:dyDescent="0.25">
      <c r="A396" s="3" t="s">
        <v>620</v>
      </c>
      <c r="B396" s="2" t="s">
        <v>621</v>
      </c>
      <c r="C396" s="2"/>
      <c r="D396" s="2" t="s">
        <v>15</v>
      </c>
      <c r="E396" s="4" t="str">
        <f>IF(ISERROR("SPONSOR"),"",HYPERLINK("#INDEX('Value Lookup'!A:A,MATCH(A" &amp; ROW() &amp; ",'Value Lookup'!A:A,0))","Value Lookup"))</f>
        <v>Value Lookup</v>
      </c>
      <c r="F396" s="4" t="str">
        <f>IF(ISERROR("SPONSOR"),"",HYPERLINK("#INDEX('Frequencies'!A:A,MATCH(A" &amp; ROW() &amp; ",'Frequencies'!A:A,0))","Frequencies"))</f>
        <v>Frequencies</v>
      </c>
      <c r="G396" s="2">
        <v>98</v>
      </c>
      <c r="H396" s="2"/>
      <c r="I396" s="2"/>
      <c r="J396" s="2"/>
      <c r="K396" s="2"/>
      <c r="L396" s="2"/>
    </row>
    <row r="397" spans="1:12" ht="50.1" hidden="1" customHeight="1" x14ac:dyDescent="0.25">
      <c r="A397" s="3" t="s">
        <v>42</v>
      </c>
      <c r="B397" s="2" t="s">
        <v>43</v>
      </c>
      <c r="C397" s="2"/>
      <c r="D397" s="2" t="s">
        <v>15</v>
      </c>
      <c r="E397" s="4" t="str">
        <f>IF(ISERROR("AWAYHOME"),"",HYPERLINK("#INDEX('Value Lookup'!A:A,MATCH(A" &amp; ROW() &amp; ",'Value Lookup'!A:A,0))","Value Lookup"))</f>
        <v>Value Lookup</v>
      </c>
      <c r="F397" s="4" t="str">
        <f>IF(ISERROR("AWAYHOME"),"",HYPERLINK("#INDEX('Frequencies'!A:A,MATCH(A" &amp; ROW() &amp; ",'Frequencies'!A:A,0))","Frequencies"))</f>
        <v>Frequencies</v>
      </c>
      <c r="G397" s="2"/>
      <c r="H397" s="2">
        <v>140</v>
      </c>
      <c r="I397" s="2"/>
      <c r="J397" s="2"/>
      <c r="K397" s="2"/>
      <c r="L397" s="2"/>
    </row>
    <row r="398" spans="1:12" ht="50.1" hidden="1" customHeight="1" x14ac:dyDescent="0.25">
      <c r="A398" s="3" t="s">
        <v>44</v>
      </c>
      <c r="B398" s="2" t="s">
        <v>45</v>
      </c>
      <c r="C398" s="2"/>
      <c r="D398" s="2" t="s">
        <v>15</v>
      </c>
      <c r="E398" s="4" t="str">
        <f>IF(ISERROR("AWAYHOME17"),"",HYPERLINK("#INDEX('Value Lookup'!A:A,MATCH(A" &amp; ROW() &amp; ",'Value Lookup'!A:A,0))","Value Lookup"))</f>
        <v>Value Lookup</v>
      </c>
      <c r="F398" s="4" t="str">
        <f>IF(ISERROR("AWAYHOME17"),"",HYPERLINK("#INDEX('Frequencies'!A:A,MATCH(A" &amp; ROW() &amp; ",'Frequencies'!A:A,0))","Frequencies"))</f>
        <v>Frequencies</v>
      </c>
      <c r="G398" s="2"/>
      <c r="H398" s="2">
        <v>141</v>
      </c>
      <c r="I398" s="2"/>
      <c r="J398" s="2"/>
      <c r="K398" s="2"/>
      <c r="L398" s="2"/>
    </row>
    <row r="399" spans="1:12" ht="50.1" hidden="1" customHeight="1" x14ac:dyDescent="0.25">
      <c r="A399" s="3" t="s">
        <v>152</v>
      </c>
      <c r="B399" s="2" t="s">
        <v>153</v>
      </c>
      <c r="C399" s="2"/>
      <c r="D399" s="2" t="s">
        <v>15</v>
      </c>
      <c r="E399" s="4" t="str">
        <f>IF(ISERROR("DRIVER"),"",HYPERLINK("#INDEX('Value Lookup'!A:A,MATCH(A" &amp; ROW() &amp; ",'Value Lookup'!A:A,0))","Value Lookup"))</f>
        <v>Value Lookup</v>
      </c>
      <c r="F399" s="4" t="str">
        <f>IF(ISERROR("DRIVER"),"",HYPERLINK("#INDEX('Frequencies'!A:A,MATCH(A" &amp; ROW() &amp; ",'Frequencies'!A:A,0))","Frequencies"))</f>
        <v>Frequencies</v>
      </c>
      <c r="G399" s="2"/>
      <c r="H399" s="2">
        <v>142</v>
      </c>
      <c r="I399" s="2"/>
      <c r="J399" s="2"/>
      <c r="K399" s="2"/>
      <c r="L399" s="2"/>
    </row>
    <row r="400" spans="1:12" ht="50.1" hidden="1" customHeight="1" x14ac:dyDescent="0.25">
      <c r="A400" s="3" t="s">
        <v>651</v>
      </c>
      <c r="B400" s="2" t="s">
        <v>652</v>
      </c>
      <c r="C400" s="2"/>
      <c r="D400" s="2" t="s">
        <v>15</v>
      </c>
      <c r="E400" s="4" t="str">
        <f>IF(ISERROR("TDDRIVER"),"",HYPERLINK("#INDEX('Value Lookup'!A:A,MATCH(A" &amp; ROW() &amp; ",'Value Lookup'!A:A,0))","Value Lookup"))</f>
        <v>Value Lookup</v>
      </c>
      <c r="F400" s="4" t="str">
        <f>IF(ISERROR("TDDRIVER"),"",HYPERLINK("#INDEX('Frequencies'!A:A,MATCH(A" &amp; ROW() &amp; ",'Frequencies'!A:A,0))","Frequencies"))</f>
        <v>Frequencies</v>
      </c>
      <c r="G400" s="2"/>
      <c r="H400" s="2">
        <v>143</v>
      </c>
      <c r="I400" s="2"/>
      <c r="J400" s="2"/>
      <c r="K400" s="2"/>
      <c r="L400" s="2"/>
    </row>
    <row r="401" spans="1:12" ht="50.1" hidden="1" customHeight="1" x14ac:dyDescent="0.25">
      <c r="A401" s="3" t="s">
        <v>483</v>
      </c>
      <c r="B401" s="2" t="s">
        <v>484</v>
      </c>
      <c r="C401" s="2"/>
      <c r="D401" s="2" t="s">
        <v>15</v>
      </c>
      <c r="E401" s="4" t="str">
        <f>IF(ISERROR("OUTOFTWN"),"",HYPERLINK("#INDEX('Value Lookup'!A:A,MATCH(A" &amp; ROW() &amp; ",'Value Lookup'!A:A,0))","Value Lookup"))</f>
        <v>Value Lookup</v>
      </c>
      <c r="F401" s="4" t="str">
        <f>IF(ISERROR("OUTOFTWN"),"",HYPERLINK("#INDEX('Frequencies'!A:A,MATCH(A" &amp; ROW() &amp; ",'Frequencies'!A:A,0))","Frequencies"))</f>
        <v>Frequencies</v>
      </c>
      <c r="G401" s="2"/>
      <c r="H401" s="2">
        <v>144</v>
      </c>
      <c r="I401" s="2"/>
      <c r="J401" s="2"/>
      <c r="K401" s="2"/>
      <c r="L401" s="2"/>
    </row>
    <row r="402" spans="1:12" ht="50.1" hidden="1" customHeight="1" x14ac:dyDescent="0.25">
      <c r="A402" s="3" t="s">
        <v>150</v>
      </c>
      <c r="B402" s="2" t="s">
        <v>151</v>
      </c>
      <c r="C402" s="2"/>
      <c r="D402" s="2" t="s">
        <v>41</v>
      </c>
      <c r="E402" s="4" t="str">
        <f>IF(ISERROR("DISTTOWK17"),"",HYPERLINK("#INDEX('Value Lookup'!A:A,MATCH(A" &amp; ROW() &amp; ",'Value Lookup'!A:A,0))","Value Lookup"))</f>
        <v>Value Lookup</v>
      </c>
      <c r="F402" s="4" t="str">
        <f>IF(ISERROR("DISTTOWK17"),"",HYPERLINK("#INDEX('Frequencies'!A:A,MATCH(A" &amp; ROW() &amp; ",'Frequencies'!A:A,0))","Frequencies"))</f>
        <v>Frequencies</v>
      </c>
      <c r="G402" s="2"/>
      <c r="H402" s="2">
        <v>145</v>
      </c>
      <c r="I402" s="2"/>
      <c r="J402" s="2"/>
      <c r="K402" s="2"/>
      <c r="L402" s="2"/>
    </row>
    <row r="403" spans="1:12" ht="50.1" hidden="1" customHeight="1" x14ac:dyDescent="0.25">
      <c r="A403" s="3" t="s">
        <v>148</v>
      </c>
      <c r="B403" s="2" t="s">
        <v>149</v>
      </c>
      <c r="C403" s="2"/>
      <c r="D403" s="2" t="s">
        <v>41</v>
      </c>
      <c r="E403" s="4" t="str">
        <f>IF(ISERROR("DISTTOSC17"),"",HYPERLINK("#INDEX('Value Lookup'!A:A,MATCH(A" &amp; ROW() &amp; ",'Value Lookup'!A:A,0))","Value Lookup"))</f>
        <v>Value Lookup</v>
      </c>
      <c r="F403" s="4" t="str">
        <f>IF(ISERROR("DISTTOSC17"),"",HYPERLINK("#INDEX('Frequencies'!A:A,MATCH(A" &amp; ROW() &amp; ",'Frequencies'!A:A,0))","Frequencies"))</f>
        <v>Frequencies</v>
      </c>
      <c r="G403" s="2"/>
      <c r="H403" s="2">
        <v>146</v>
      </c>
      <c r="I403" s="2"/>
      <c r="J403" s="2"/>
      <c r="K403" s="2"/>
      <c r="L403" s="2"/>
    </row>
    <row r="404" spans="1:12" ht="50.1" hidden="1" customHeight="1" x14ac:dyDescent="0.25">
      <c r="A404" s="3" t="s">
        <v>583</v>
      </c>
      <c r="B404" s="2" t="s">
        <v>567</v>
      </c>
      <c r="C404" s="2"/>
      <c r="D404" s="2" t="s">
        <v>15</v>
      </c>
      <c r="E404" s="4" t="str">
        <f>IF(ISERROR("R_RETMODE"),"",HYPERLINK("#INDEX('Value Lookup'!A:A,MATCH(A" &amp; ROW() &amp; ",'Value Lookup'!A:A,0))","Value Lookup"))</f>
        <v>Value Lookup</v>
      </c>
      <c r="F404" s="4" t="str">
        <f>IF(ISERROR("R_RETMODE"),"",HYPERLINK("#INDEX('Frequencies'!A:A,MATCH(A" &amp; ROW() &amp; ",'Frequencies'!A:A,0))","Frequencies"))</f>
        <v>Frequencies</v>
      </c>
      <c r="G404" s="2"/>
      <c r="H404" s="2">
        <v>147</v>
      </c>
      <c r="I404" s="2"/>
      <c r="J404" s="2"/>
      <c r="K404" s="2"/>
      <c r="L404" s="2"/>
    </row>
    <row r="405" spans="1:12" ht="50.1" hidden="1" customHeight="1" x14ac:dyDescent="0.25">
      <c r="A405" s="3" t="s">
        <v>558</v>
      </c>
      <c r="B405" s="2" t="s">
        <v>559</v>
      </c>
      <c r="C405" s="2"/>
      <c r="D405" s="2" t="s">
        <v>41</v>
      </c>
      <c r="E405" s="2" t="str">
        <f>IF(ISERROR("R_AGE_IMP"),"","NA")</f>
        <v>NA</v>
      </c>
      <c r="F405" s="4" t="str">
        <f>IF(ISERROR("R_AGE_IMP"),"",HYPERLINK("#INDEX('Frequencies'!A:A,MATCH(A" &amp; ROW() &amp; ",'Frequencies'!A:A,0))","Frequencies"))</f>
        <v>Frequencies</v>
      </c>
      <c r="G405" s="2"/>
      <c r="H405" s="2">
        <v>148</v>
      </c>
      <c r="I405" s="2"/>
      <c r="J405" s="2"/>
      <c r="K405" s="2"/>
      <c r="L405" s="2"/>
    </row>
    <row r="406" spans="1:12" ht="50.1" hidden="1" customHeight="1" x14ac:dyDescent="0.25">
      <c r="A406" s="3" t="s">
        <v>587</v>
      </c>
      <c r="B406" s="2" t="s">
        <v>588</v>
      </c>
      <c r="C406" s="2"/>
      <c r="D406" s="2" t="s">
        <v>15</v>
      </c>
      <c r="E406" s="2" t="str">
        <f>IF(ISERROR("R_SEX_IMP"),"","NA")</f>
        <v>NA</v>
      </c>
      <c r="F406" s="4" t="str">
        <f>IF(ISERROR("R_SEX_IMP"),"",HYPERLINK("#INDEX('Frequencies'!A:A,MATCH(A" &amp; ROW() &amp; ",'Frequencies'!A:A,0))","Frequencies"))</f>
        <v>Frequencies</v>
      </c>
      <c r="G406" s="2"/>
      <c r="H406" s="2">
        <v>149</v>
      </c>
      <c r="I406" s="2"/>
      <c r="J406" s="2"/>
      <c r="K406" s="2"/>
      <c r="L406" s="2"/>
    </row>
    <row r="407" spans="1:12" ht="50.1" hidden="1" customHeight="1" x14ac:dyDescent="0.25">
      <c r="A407" s="3" t="s">
        <v>571</v>
      </c>
      <c r="B407" s="2" t="s">
        <v>572</v>
      </c>
      <c r="C407" s="2"/>
      <c r="D407" s="2" t="s">
        <v>15</v>
      </c>
      <c r="E407" s="2" t="str">
        <f>IF(ISERROR("R_HISP_IMP"),"","NA")</f>
        <v>NA</v>
      </c>
      <c r="F407" s="4" t="str">
        <f>IF(ISERROR("R_HISP_IMP"),"",HYPERLINK("#INDEX('Frequencies'!A:A,MATCH(A" &amp; ROW() &amp; ",'Frequencies'!A:A,0))","Frequencies"))</f>
        <v>Frequencies</v>
      </c>
      <c r="G407" s="2"/>
      <c r="H407" s="2">
        <v>150</v>
      </c>
      <c r="I407" s="2"/>
      <c r="J407" s="2"/>
      <c r="K407" s="2"/>
      <c r="L407" s="2"/>
    </row>
    <row r="408" spans="1:12" ht="50.1" hidden="1" customHeight="1" x14ac:dyDescent="0.25">
      <c r="A408" s="3" t="s">
        <v>268</v>
      </c>
      <c r="B408" s="2" t="s">
        <v>269</v>
      </c>
      <c r="C408" s="2"/>
      <c r="D408" s="2" t="s">
        <v>15</v>
      </c>
      <c r="E408" s="2" t="str">
        <f>IF(ISERROR("HOMEOWN_IMP"),"","NA")</f>
        <v>NA</v>
      </c>
      <c r="F408" s="4" t="str">
        <f>IF(ISERROR("HOMEOWN_IMP"),"",HYPERLINK("#INDEX('Frequencies'!A:A,MATCH(A" &amp; ROW() &amp; ",'Frequencies'!A:A,0))","Frequencies"))</f>
        <v>Frequencies</v>
      </c>
      <c r="G408" s="2">
        <v>99</v>
      </c>
      <c r="H408" s="2"/>
      <c r="I408" s="2"/>
      <c r="J408" s="2"/>
      <c r="K408" s="2"/>
      <c r="L408" s="2"/>
    </row>
    <row r="409" spans="1:12" ht="50.1" hidden="1" customHeight="1" x14ac:dyDescent="0.25">
      <c r="A409" s="3" t="s">
        <v>578</v>
      </c>
      <c r="B409" s="2" t="s">
        <v>579</v>
      </c>
      <c r="C409" s="2"/>
      <c r="D409" s="2" t="s">
        <v>15</v>
      </c>
      <c r="E409" s="2" t="str">
        <f>IF(ISERROR("R_RACE_IMP"),"","NA")</f>
        <v>NA</v>
      </c>
      <c r="F409" s="4" t="str">
        <f>IF(ISERROR("R_RACE_IMP"),"",HYPERLINK("#INDEX('Frequencies'!A:A,MATCH(A" &amp; ROW() &amp; ",'Frequencies'!A:A,0))","Frequencies"))</f>
        <v>Frequencies</v>
      </c>
      <c r="G409" s="2"/>
      <c r="H409" s="2">
        <v>151</v>
      </c>
      <c r="I409" s="2"/>
      <c r="J409" s="2"/>
      <c r="K409" s="2"/>
      <c r="L409" s="2"/>
    </row>
    <row r="410" spans="1:12" ht="50.1" hidden="1" customHeight="1" x14ac:dyDescent="0.25">
      <c r="A410" s="3" t="s">
        <v>932</v>
      </c>
      <c r="B410" s="2" t="s">
        <v>933</v>
      </c>
      <c r="C410" s="2"/>
      <c r="D410" s="2" t="s">
        <v>15</v>
      </c>
      <c r="E410" s="2" t="str">
        <f>IF(ISERROR("WORKER_IMP"),"","NA")</f>
        <v>NA</v>
      </c>
      <c r="F410" s="4" t="str">
        <f>IF(ISERROR("WORKER_IMP"),"",HYPERLINK("#INDEX('Frequencies'!A:A,MATCH(A" &amp; ROW() &amp; ",'Frequencies'!A:A,0))","Frequencies"))</f>
        <v>Frequencies</v>
      </c>
      <c r="G410" s="2"/>
      <c r="H410" s="2">
        <v>152</v>
      </c>
      <c r="I410" s="2"/>
      <c r="J410" s="2"/>
      <c r="K410" s="2"/>
      <c r="L410" s="2"/>
    </row>
    <row r="411" spans="1:12" ht="50.1" hidden="1" customHeight="1" x14ac:dyDescent="0.25">
      <c r="A411" s="3" t="s">
        <v>973</v>
      </c>
      <c r="B411" s="2" t="s">
        <v>974</v>
      </c>
      <c r="C411" s="2"/>
      <c r="D411" s="2" t="s">
        <v>15</v>
      </c>
      <c r="E411" s="4" t="str">
        <f>IF(ISERROR("ZIP"),"",HYPERLINK("#INDEX('Value Lookup'!A:A,MATCH(A" &amp; ROW() &amp; ",'Value Lookup'!A:A,0))","Value Lookup"))</f>
        <v>Value Lookup</v>
      </c>
      <c r="F411" s="4" t="str">
        <f>IF(ISERROR("ZIP"),"",HYPERLINK("#INDEX('Frequencies'!A:A,MATCH(A" &amp; ROW() &amp; ",'Frequencies'!A:A,0))","Frequencies"))</f>
        <v>Frequencies</v>
      </c>
      <c r="G411" s="2"/>
      <c r="H411" s="2"/>
      <c r="I411" s="2"/>
      <c r="J411" s="2"/>
      <c r="K411" s="2">
        <v>11</v>
      </c>
      <c r="L411" s="2"/>
    </row>
  </sheetData>
  <autoFilter ref="A1:L411" xr:uid="{00000000-0009-0000-0000-000000000000}">
    <filterColumn colId="9">
      <customFilters>
        <customFilter operator="notEqual" val=" "/>
      </customFilters>
    </filterColumn>
  </autoFilter>
  <sortState ref="A2:L386">
    <sortCondition ref="J2:J411"/>
  </sortState>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996"/>
  <sheetViews>
    <sheetView workbookViewId="0">
      <pane ySplit="1" topLeftCell="A2" activePane="bottomLeft" state="frozen"/>
      <selection pane="bottomLeft"/>
    </sheetView>
  </sheetViews>
  <sheetFormatPr defaultRowHeight="15" x14ac:dyDescent="0.25"/>
  <cols>
    <col min="1" max="4" width="13.7109375" customWidth="1"/>
  </cols>
  <sheetData>
    <row r="1" spans="1:4" ht="30" customHeight="1" x14ac:dyDescent="0.25">
      <c r="A1" s="1" t="s">
        <v>0</v>
      </c>
      <c r="B1" s="1" t="s">
        <v>975</v>
      </c>
      <c r="C1" s="1" t="s">
        <v>976</v>
      </c>
      <c r="D1" s="1" t="s">
        <v>1</v>
      </c>
    </row>
    <row r="2" spans="1:4" ht="12.95" customHeight="1" x14ac:dyDescent="0.25">
      <c r="A2" s="2" t="s">
        <v>12</v>
      </c>
      <c r="B2" s="2" t="s">
        <v>977</v>
      </c>
      <c r="C2" s="5" t="s">
        <v>978</v>
      </c>
      <c r="D2" s="2" t="s">
        <v>979</v>
      </c>
    </row>
    <row r="3" spans="1:4" ht="12.95" customHeight="1" x14ac:dyDescent="0.25">
      <c r="A3" s="2" t="s">
        <v>12</v>
      </c>
      <c r="B3" s="2" t="s">
        <v>977</v>
      </c>
      <c r="C3" s="5" t="s">
        <v>980</v>
      </c>
      <c r="D3" s="2" t="s">
        <v>981</v>
      </c>
    </row>
    <row r="4" spans="1:4" ht="12.95" customHeight="1" x14ac:dyDescent="0.25">
      <c r="A4" s="2" t="s">
        <v>12</v>
      </c>
      <c r="B4" s="2" t="s">
        <v>977</v>
      </c>
      <c r="C4" s="5" t="s">
        <v>982</v>
      </c>
      <c r="D4" s="2" t="s">
        <v>983</v>
      </c>
    </row>
    <row r="5" spans="1:4" ht="12.95" customHeight="1" x14ac:dyDescent="0.25">
      <c r="A5" s="2" t="s">
        <v>12</v>
      </c>
      <c r="B5" s="2" t="s">
        <v>977</v>
      </c>
      <c r="C5" s="5" t="s">
        <v>984</v>
      </c>
      <c r="D5" s="2" t="s">
        <v>985</v>
      </c>
    </row>
    <row r="6" spans="1:4" ht="12.95" customHeight="1" x14ac:dyDescent="0.25">
      <c r="A6" s="2" t="s">
        <v>12</v>
      </c>
      <c r="B6" s="2" t="s">
        <v>977</v>
      </c>
      <c r="C6" s="5" t="s">
        <v>986</v>
      </c>
      <c r="D6" s="2" t="s">
        <v>987</v>
      </c>
    </row>
    <row r="7" spans="1:4" ht="12.95" customHeight="1" x14ac:dyDescent="0.25">
      <c r="A7" s="2" t="s">
        <v>12</v>
      </c>
      <c r="B7" s="2" t="s">
        <v>977</v>
      </c>
      <c r="C7" s="5" t="s">
        <v>988</v>
      </c>
      <c r="D7" s="2" t="s">
        <v>989</v>
      </c>
    </row>
    <row r="8" spans="1:4" ht="12.95" customHeight="1" x14ac:dyDescent="0.25">
      <c r="A8" s="2" t="s">
        <v>12</v>
      </c>
      <c r="B8" s="2" t="s">
        <v>977</v>
      </c>
      <c r="C8" s="5" t="s">
        <v>990</v>
      </c>
      <c r="D8" s="2" t="s">
        <v>991</v>
      </c>
    </row>
    <row r="9" spans="1:4" ht="12.95" customHeight="1" x14ac:dyDescent="0.25">
      <c r="A9" s="2" t="s">
        <v>12</v>
      </c>
      <c r="B9" s="2" t="s">
        <v>977</v>
      </c>
      <c r="C9" s="5" t="s">
        <v>992</v>
      </c>
      <c r="D9" s="2" t="s">
        <v>993</v>
      </c>
    </row>
    <row r="10" spans="1:4" ht="12.95" customHeight="1" x14ac:dyDescent="0.25">
      <c r="A10" s="2" t="s">
        <v>12</v>
      </c>
      <c r="B10" s="2" t="s">
        <v>977</v>
      </c>
      <c r="C10" s="5" t="s">
        <v>994</v>
      </c>
      <c r="D10" s="2" t="s">
        <v>995</v>
      </c>
    </row>
    <row r="11" spans="1:4" ht="12.95" customHeight="1" x14ac:dyDescent="0.25">
      <c r="A11" s="2" t="s">
        <v>16</v>
      </c>
      <c r="B11" s="2" t="s">
        <v>977</v>
      </c>
      <c r="C11" s="5" t="s">
        <v>996</v>
      </c>
      <c r="D11" s="2" t="s">
        <v>997</v>
      </c>
    </row>
    <row r="12" spans="1:4" ht="12.95" customHeight="1" x14ac:dyDescent="0.25">
      <c r="A12" s="2" t="s">
        <v>16</v>
      </c>
      <c r="B12" s="2" t="s">
        <v>977</v>
      </c>
      <c r="C12" s="5" t="s">
        <v>978</v>
      </c>
      <c r="D12" s="2" t="s">
        <v>979</v>
      </c>
    </row>
    <row r="13" spans="1:4" ht="12.95" customHeight="1" x14ac:dyDescent="0.25">
      <c r="A13" s="2" t="s">
        <v>16</v>
      </c>
      <c r="B13" s="2" t="s">
        <v>977</v>
      </c>
      <c r="C13" s="5" t="s">
        <v>980</v>
      </c>
      <c r="D13" s="2" t="s">
        <v>981</v>
      </c>
    </row>
    <row r="14" spans="1:4" ht="12.95" customHeight="1" x14ac:dyDescent="0.25">
      <c r="A14" s="2" t="s">
        <v>16</v>
      </c>
      <c r="B14" s="2" t="s">
        <v>977</v>
      </c>
      <c r="C14" s="5" t="s">
        <v>982</v>
      </c>
      <c r="D14" s="2" t="s">
        <v>983</v>
      </c>
    </row>
    <row r="15" spans="1:4" ht="12.95" customHeight="1" x14ac:dyDescent="0.25">
      <c r="A15" s="2" t="s">
        <v>16</v>
      </c>
      <c r="B15" s="2" t="s">
        <v>977</v>
      </c>
      <c r="C15" s="5" t="s">
        <v>984</v>
      </c>
      <c r="D15" s="2" t="s">
        <v>998</v>
      </c>
    </row>
    <row r="16" spans="1:4" ht="12.95" customHeight="1" x14ac:dyDescent="0.25">
      <c r="A16" s="2" t="s">
        <v>16</v>
      </c>
      <c r="B16" s="2" t="s">
        <v>977</v>
      </c>
      <c r="C16" s="5" t="s">
        <v>986</v>
      </c>
      <c r="D16" s="2" t="s">
        <v>999</v>
      </c>
    </row>
    <row r="17" spans="1:4" ht="12.95" customHeight="1" x14ac:dyDescent="0.25">
      <c r="A17" s="2" t="s">
        <v>16</v>
      </c>
      <c r="B17" s="2" t="s">
        <v>977</v>
      </c>
      <c r="C17" s="5" t="s">
        <v>988</v>
      </c>
      <c r="D17" s="2" t="s">
        <v>1000</v>
      </c>
    </row>
    <row r="18" spans="1:4" ht="12.95" customHeight="1" x14ac:dyDescent="0.25">
      <c r="A18" s="2" t="s">
        <v>16</v>
      </c>
      <c r="B18" s="2" t="s">
        <v>977</v>
      </c>
      <c r="C18" s="5" t="s">
        <v>990</v>
      </c>
      <c r="D18" s="2" t="s">
        <v>1001</v>
      </c>
    </row>
    <row r="19" spans="1:4" ht="12.95" customHeight="1" x14ac:dyDescent="0.25">
      <c r="A19" s="2" t="s">
        <v>16</v>
      </c>
      <c r="B19" s="2" t="s">
        <v>977</v>
      </c>
      <c r="C19" s="5" t="s">
        <v>992</v>
      </c>
      <c r="D19" s="2" t="s">
        <v>853</v>
      </c>
    </row>
    <row r="20" spans="1:4" ht="12.95" customHeight="1" x14ac:dyDescent="0.25">
      <c r="A20" s="2" t="s">
        <v>16</v>
      </c>
      <c r="B20" s="2" t="s">
        <v>977</v>
      </c>
      <c r="C20" s="5" t="s">
        <v>994</v>
      </c>
      <c r="D20" s="2" t="s">
        <v>1002</v>
      </c>
    </row>
    <row r="21" spans="1:4" ht="12.95" customHeight="1" x14ac:dyDescent="0.25">
      <c r="A21" s="2" t="s">
        <v>16</v>
      </c>
      <c r="B21" s="2" t="s">
        <v>977</v>
      </c>
      <c r="C21" s="5" t="s">
        <v>1003</v>
      </c>
      <c r="D21" s="2" t="s">
        <v>1004</v>
      </c>
    </row>
    <row r="22" spans="1:4" ht="12.95" customHeight="1" x14ac:dyDescent="0.25">
      <c r="A22" s="2" t="s">
        <v>16</v>
      </c>
      <c r="B22" s="2" t="s">
        <v>977</v>
      </c>
      <c r="C22" s="5" t="s">
        <v>1005</v>
      </c>
      <c r="D22" s="2" t="s">
        <v>1006</v>
      </c>
    </row>
    <row r="23" spans="1:4" ht="12.95" customHeight="1" x14ac:dyDescent="0.25">
      <c r="A23" s="2" t="s">
        <v>19</v>
      </c>
      <c r="B23" s="2" t="s">
        <v>977</v>
      </c>
      <c r="C23" s="5" t="s">
        <v>996</v>
      </c>
      <c r="D23" s="2" t="s">
        <v>997</v>
      </c>
    </row>
    <row r="24" spans="1:4" ht="12.95" customHeight="1" x14ac:dyDescent="0.25">
      <c r="A24" s="2" t="s">
        <v>19</v>
      </c>
      <c r="B24" s="2" t="s">
        <v>977</v>
      </c>
      <c r="C24" s="5" t="s">
        <v>978</v>
      </c>
      <c r="D24" s="2" t="s">
        <v>979</v>
      </c>
    </row>
    <row r="25" spans="1:4" ht="12.95" customHeight="1" x14ac:dyDescent="0.25">
      <c r="A25" s="2" t="s">
        <v>19</v>
      </c>
      <c r="B25" s="2" t="s">
        <v>977</v>
      </c>
      <c r="C25" s="5" t="s">
        <v>980</v>
      </c>
      <c r="D25" s="2" t="s">
        <v>981</v>
      </c>
    </row>
    <row r="26" spans="1:4" ht="12.95" customHeight="1" x14ac:dyDescent="0.25">
      <c r="A26" s="2" t="s">
        <v>19</v>
      </c>
      <c r="B26" s="2" t="s">
        <v>977</v>
      </c>
      <c r="C26" s="5" t="s">
        <v>982</v>
      </c>
      <c r="D26" s="2" t="s">
        <v>983</v>
      </c>
    </row>
    <row r="27" spans="1:4" ht="12.95" customHeight="1" x14ac:dyDescent="0.25">
      <c r="A27" s="2" t="s">
        <v>19</v>
      </c>
      <c r="B27" s="2" t="s">
        <v>977</v>
      </c>
      <c r="C27" s="5" t="s">
        <v>984</v>
      </c>
      <c r="D27" s="2" t="s">
        <v>998</v>
      </c>
    </row>
    <row r="28" spans="1:4" ht="12.95" customHeight="1" x14ac:dyDescent="0.25">
      <c r="A28" s="2" t="s">
        <v>19</v>
      </c>
      <c r="B28" s="2" t="s">
        <v>977</v>
      </c>
      <c r="C28" s="5" t="s">
        <v>986</v>
      </c>
      <c r="D28" s="2" t="s">
        <v>999</v>
      </c>
    </row>
    <row r="29" spans="1:4" ht="12.95" customHeight="1" x14ac:dyDescent="0.25">
      <c r="A29" s="2" t="s">
        <v>19</v>
      </c>
      <c r="B29" s="2" t="s">
        <v>977</v>
      </c>
      <c r="C29" s="5" t="s">
        <v>988</v>
      </c>
      <c r="D29" s="2" t="s">
        <v>1000</v>
      </c>
    </row>
    <row r="30" spans="1:4" ht="12.95" customHeight="1" x14ac:dyDescent="0.25">
      <c r="A30" s="2" t="s">
        <v>19</v>
      </c>
      <c r="B30" s="2" t="s">
        <v>977</v>
      </c>
      <c r="C30" s="5" t="s">
        <v>990</v>
      </c>
      <c r="D30" s="2" t="s">
        <v>1001</v>
      </c>
    </row>
    <row r="31" spans="1:4" ht="12.95" customHeight="1" x14ac:dyDescent="0.25">
      <c r="A31" s="2" t="s">
        <v>19</v>
      </c>
      <c r="B31" s="2" t="s">
        <v>977</v>
      </c>
      <c r="C31" s="5" t="s">
        <v>992</v>
      </c>
      <c r="D31" s="2" t="s">
        <v>853</v>
      </c>
    </row>
    <row r="32" spans="1:4" ht="12.95" customHeight="1" x14ac:dyDescent="0.25">
      <c r="A32" s="2" t="s">
        <v>19</v>
      </c>
      <c r="B32" s="2" t="s">
        <v>977</v>
      </c>
      <c r="C32" s="5" t="s">
        <v>994</v>
      </c>
      <c r="D32" s="2" t="s">
        <v>1002</v>
      </c>
    </row>
    <row r="33" spans="1:4" ht="12.95" customHeight="1" x14ac:dyDescent="0.25">
      <c r="A33" s="2" t="s">
        <v>19</v>
      </c>
      <c r="B33" s="2" t="s">
        <v>977</v>
      </c>
      <c r="C33" s="5" t="s">
        <v>1003</v>
      </c>
      <c r="D33" s="2" t="s">
        <v>1004</v>
      </c>
    </row>
    <row r="34" spans="1:4" ht="12.95" customHeight="1" x14ac:dyDescent="0.25">
      <c r="A34" s="2" t="s">
        <v>19</v>
      </c>
      <c r="B34" s="2" t="s">
        <v>977</v>
      </c>
      <c r="C34" s="5" t="s">
        <v>1005</v>
      </c>
      <c r="D34" s="2" t="s">
        <v>1006</v>
      </c>
    </row>
    <row r="35" spans="1:4" ht="12.95" customHeight="1" x14ac:dyDescent="0.25">
      <c r="A35" s="2" t="s">
        <v>21</v>
      </c>
      <c r="B35" s="2" t="s">
        <v>977</v>
      </c>
      <c r="C35" s="5" t="s">
        <v>996</v>
      </c>
      <c r="D35" s="2" t="s">
        <v>997</v>
      </c>
    </row>
    <row r="36" spans="1:4" ht="12.95" customHeight="1" x14ac:dyDescent="0.25">
      <c r="A36" s="2" t="s">
        <v>21</v>
      </c>
      <c r="B36" s="2" t="s">
        <v>977</v>
      </c>
      <c r="C36" s="5" t="s">
        <v>978</v>
      </c>
      <c r="D36" s="2" t="s">
        <v>979</v>
      </c>
    </row>
    <row r="37" spans="1:4" ht="12.95" customHeight="1" x14ac:dyDescent="0.25">
      <c r="A37" s="2" t="s">
        <v>21</v>
      </c>
      <c r="B37" s="2" t="s">
        <v>977</v>
      </c>
      <c r="C37" s="5" t="s">
        <v>980</v>
      </c>
      <c r="D37" s="2" t="s">
        <v>981</v>
      </c>
    </row>
    <row r="38" spans="1:4" ht="12.95" customHeight="1" x14ac:dyDescent="0.25">
      <c r="A38" s="2" t="s">
        <v>21</v>
      </c>
      <c r="B38" s="2" t="s">
        <v>977</v>
      </c>
      <c r="C38" s="5" t="s">
        <v>982</v>
      </c>
      <c r="D38" s="2" t="s">
        <v>983</v>
      </c>
    </row>
    <row r="39" spans="1:4" ht="12.95" customHeight="1" x14ac:dyDescent="0.25">
      <c r="A39" s="2" t="s">
        <v>21</v>
      </c>
      <c r="B39" s="2" t="s">
        <v>977</v>
      </c>
      <c r="C39" s="5" t="s">
        <v>984</v>
      </c>
      <c r="D39" s="2" t="s">
        <v>998</v>
      </c>
    </row>
    <row r="40" spans="1:4" ht="12.95" customHeight="1" x14ac:dyDescent="0.25">
      <c r="A40" s="2" t="s">
        <v>21</v>
      </c>
      <c r="B40" s="2" t="s">
        <v>977</v>
      </c>
      <c r="C40" s="5" t="s">
        <v>986</v>
      </c>
      <c r="D40" s="2" t="s">
        <v>999</v>
      </c>
    </row>
    <row r="41" spans="1:4" ht="12.95" customHeight="1" x14ac:dyDescent="0.25">
      <c r="A41" s="2" t="s">
        <v>21</v>
      </c>
      <c r="B41" s="2" t="s">
        <v>977</v>
      </c>
      <c r="C41" s="5" t="s">
        <v>988</v>
      </c>
      <c r="D41" s="2" t="s">
        <v>1000</v>
      </c>
    </row>
    <row r="42" spans="1:4" ht="12.95" customHeight="1" x14ac:dyDescent="0.25">
      <c r="A42" s="2" t="s">
        <v>21</v>
      </c>
      <c r="B42" s="2" t="s">
        <v>977</v>
      </c>
      <c r="C42" s="5" t="s">
        <v>990</v>
      </c>
      <c r="D42" s="2" t="s">
        <v>1001</v>
      </c>
    </row>
    <row r="43" spans="1:4" ht="12.95" customHeight="1" x14ac:dyDescent="0.25">
      <c r="A43" s="2" t="s">
        <v>21</v>
      </c>
      <c r="B43" s="2" t="s">
        <v>977</v>
      </c>
      <c r="C43" s="5" t="s">
        <v>992</v>
      </c>
      <c r="D43" s="2" t="s">
        <v>853</v>
      </c>
    </row>
    <row r="44" spans="1:4" ht="12.95" customHeight="1" x14ac:dyDescent="0.25">
      <c r="A44" s="2" t="s">
        <v>21</v>
      </c>
      <c r="B44" s="2" t="s">
        <v>977</v>
      </c>
      <c r="C44" s="5" t="s">
        <v>994</v>
      </c>
      <c r="D44" s="2" t="s">
        <v>1002</v>
      </c>
    </row>
    <row r="45" spans="1:4" ht="12.95" customHeight="1" x14ac:dyDescent="0.25">
      <c r="A45" s="2" t="s">
        <v>21</v>
      </c>
      <c r="B45" s="2" t="s">
        <v>977</v>
      </c>
      <c r="C45" s="5" t="s">
        <v>1003</v>
      </c>
      <c r="D45" s="2" t="s">
        <v>1004</v>
      </c>
    </row>
    <row r="46" spans="1:4" ht="12.95" customHeight="1" x14ac:dyDescent="0.25">
      <c r="A46" s="2" t="s">
        <v>21</v>
      </c>
      <c r="B46" s="2" t="s">
        <v>977</v>
      </c>
      <c r="C46" s="5" t="s">
        <v>1005</v>
      </c>
      <c r="D46" s="2" t="s">
        <v>1006</v>
      </c>
    </row>
    <row r="47" spans="1:4" ht="12.95" customHeight="1" x14ac:dyDescent="0.25">
      <c r="A47" s="2" t="s">
        <v>23</v>
      </c>
      <c r="B47" s="2" t="s">
        <v>977</v>
      </c>
      <c r="C47" s="5" t="s">
        <v>996</v>
      </c>
      <c r="D47" s="2" t="s">
        <v>997</v>
      </c>
    </row>
    <row r="48" spans="1:4" ht="12.95" customHeight="1" x14ac:dyDescent="0.25">
      <c r="A48" s="2" t="s">
        <v>23</v>
      </c>
      <c r="B48" s="2" t="s">
        <v>977</v>
      </c>
      <c r="C48" s="5" t="s">
        <v>978</v>
      </c>
      <c r="D48" s="2" t="s">
        <v>979</v>
      </c>
    </row>
    <row r="49" spans="1:4" ht="12.95" customHeight="1" x14ac:dyDescent="0.25">
      <c r="A49" s="2" t="s">
        <v>23</v>
      </c>
      <c r="B49" s="2" t="s">
        <v>977</v>
      </c>
      <c r="C49" s="5" t="s">
        <v>980</v>
      </c>
      <c r="D49" s="2" t="s">
        <v>981</v>
      </c>
    </row>
    <row r="50" spans="1:4" ht="12.95" customHeight="1" x14ac:dyDescent="0.25">
      <c r="A50" s="2" t="s">
        <v>23</v>
      </c>
      <c r="B50" s="2" t="s">
        <v>977</v>
      </c>
      <c r="C50" s="5" t="s">
        <v>982</v>
      </c>
      <c r="D50" s="2" t="s">
        <v>983</v>
      </c>
    </row>
    <row r="51" spans="1:4" ht="12.95" customHeight="1" x14ac:dyDescent="0.25">
      <c r="A51" s="2" t="s">
        <v>23</v>
      </c>
      <c r="B51" s="2" t="s">
        <v>977</v>
      </c>
      <c r="C51" s="5" t="s">
        <v>984</v>
      </c>
      <c r="D51" s="2" t="s">
        <v>998</v>
      </c>
    </row>
    <row r="52" spans="1:4" ht="12.95" customHeight="1" x14ac:dyDescent="0.25">
      <c r="A52" s="2" t="s">
        <v>23</v>
      </c>
      <c r="B52" s="2" t="s">
        <v>977</v>
      </c>
      <c r="C52" s="5" t="s">
        <v>986</v>
      </c>
      <c r="D52" s="2" t="s">
        <v>999</v>
      </c>
    </row>
    <row r="53" spans="1:4" ht="12.95" customHeight="1" x14ac:dyDescent="0.25">
      <c r="A53" s="2" t="s">
        <v>23</v>
      </c>
      <c r="B53" s="2" t="s">
        <v>977</v>
      </c>
      <c r="C53" s="5" t="s">
        <v>988</v>
      </c>
      <c r="D53" s="2" t="s">
        <v>1000</v>
      </c>
    </row>
    <row r="54" spans="1:4" ht="12.95" customHeight="1" x14ac:dyDescent="0.25">
      <c r="A54" s="2" t="s">
        <v>23</v>
      </c>
      <c r="B54" s="2" t="s">
        <v>977</v>
      </c>
      <c r="C54" s="5" t="s">
        <v>990</v>
      </c>
      <c r="D54" s="2" t="s">
        <v>1001</v>
      </c>
    </row>
    <row r="55" spans="1:4" ht="12.95" customHeight="1" x14ac:dyDescent="0.25">
      <c r="A55" s="2" t="s">
        <v>23</v>
      </c>
      <c r="B55" s="2" t="s">
        <v>977</v>
      </c>
      <c r="C55" s="5" t="s">
        <v>992</v>
      </c>
      <c r="D55" s="2" t="s">
        <v>853</v>
      </c>
    </row>
    <row r="56" spans="1:4" ht="12.95" customHeight="1" x14ac:dyDescent="0.25">
      <c r="A56" s="2" t="s">
        <v>23</v>
      </c>
      <c r="B56" s="2" t="s">
        <v>977</v>
      </c>
      <c r="C56" s="5" t="s">
        <v>994</v>
      </c>
      <c r="D56" s="2" t="s">
        <v>1002</v>
      </c>
    </row>
    <row r="57" spans="1:4" ht="12.95" customHeight="1" x14ac:dyDescent="0.25">
      <c r="A57" s="2" t="s">
        <v>23</v>
      </c>
      <c r="B57" s="2" t="s">
        <v>977</v>
      </c>
      <c r="C57" s="5" t="s">
        <v>1003</v>
      </c>
      <c r="D57" s="2" t="s">
        <v>1004</v>
      </c>
    </row>
    <row r="58" spans="1:4" ht="12.95" customHeight="1" x14ac:dyDescent="0.25">
      <c r="A58" s="2" t="s">
        <v>23</v>
      </c>
      <c r="B58" s="2" t="s">
        <v>977</v>
      </c>
      <c r="C58" s="5" t="s">
        <v>1005</v>
      </c>
      <c r="D58" s="2" t="s">
        <v>1006</v>
      </c>
    </row>
    <row r="59" spans="1:4" ht="12.95" customHeight="1" x14ac:dyDescent="0.25">
      <c r="A59" s="2" t="s">
        <v>25</v>
      </c>
      <c r="B59" s="2" t="s">
        <v>977</v>
      </c>
      <c r="C59" s="5" t="s">
        <v>996</v>
      </c>
      <c r="D59" s="2" t="s">
        <v>997</v>
      </c>
    </row>
    <row r="60" spans="1:4" ht="12.95" customHeight="1" x14ac:dyDescent="0.25">
      <c r="A60" s="2" t="s">
        <v>25</v>
      </c>
      <c r="B60" s="2" t="s">
        <v>977</v>
      </c>
      <c r="C60" s="5" t="s">
        <v>978</v>
      </c>
      <c r="D60" s="2" t="s">
        <v>979</v>
      </c>
    </row>
    <row r="61" spans="1:4" ht="12.95" customHeight="1" x14ac:dyDescent="0.25">
      <c r="A61" s="2" t="s">
        <v>25</v>
      </c>
      <c r="B61" s="2" t="s">
        <v>977</v>
      </c>
      <c r="C61" s="5" t="s">
        <v>980</v>
      </c>
      <c r="D61" s="2" t="s">
        <v>981</v>
      </c>
    </row>
    <row r="62" spans="1:4" ht="12.95" customHeight="1" x14ac:dyDescent="0.25">
      <c r="A62" s="2" t="s">
        <v>25</v>
      </c>
      <c r="B62" s="2" t="s">
        <v>977</v>
      </c>
      <c r="C62" s="5" t="s">
        <v>982</v>
      </c>
      <c r="D62" s="2" t="s">
        <v>983</v>
      </c>
    </row>
    <row r="63" spans="1:4" ht="12.95" customHeight="1" x14ac:dyDescent="0.25">
      <c r="A63" s="2" t="s">
        <v>25</v>
      </c>
      <c r="B63" s="2" t="s">
        <v>977</v>
      </c>
      <c r="C63" s="5" t="s">
        <v>984</v>
      </c>
      <c r="D63" s="2" t="s">
        <v>998</v>
      </c>
    </row>
    <row r="64" spans="1:4" ht="12.95" customHeight="1" x14ac:dyDescent="0.25">
      <c r="A64" s="2" t="s">
        <v>25</v>
      </c>
      <c r="B64" s="2" t="s">
        <v>977</v>
      </c>
      <c r="C64" s="5" t="s">
        <v>986</v>
      </c>
      <c r="D64" s="2" t="s">
        <v>999</v>
      </c>
    </row>
    <row r="65" spans="1:4" ht="12.95" customHeight="1" x14ac:dyDescent="0.25">
      <c r="A65" s="2" t="s">
        <v>25</v>
      </c>
      <c r="B65" s="2" t="s">
        <v>977</v>
      </c>
      <c r="C65" s="5" t="s">
        <v>988</v>
      </c>
      <c r="D65" s="2" t="s">
        <v>1000</v>
      </c>
    </row>
    <row r="66" spans="1:4" ht="12.95" customHeight="1" x14ac:dyDescent="0.25">
      <c r="A66" s="2" t="s">
        <v>25</v>
      </c>
      <c r="B66" s="2" t="s">
        <v>977</v>
      </c>
      <c r="C66" s="5" t="s">
        <v>990</v>
      </c>
      <c r="D66" s="2" t="s">
        <v>1001</v>
      </c>
    </row>
    <row r="67" spans="1:4" ht="12.95" customHeight="1" x14ac:dyDescent="0.25">
      <c r="A67" s="2" t="s">
        <v>25</v>
      </c>
      <c r="B67" s="2" t="s">
        <v>977</v>
      </c>
      <c r="C67" s="5" t="s">
        <v>992</v>
      </c>
      <c r="D67" s="2" t="s">
        <v>853</v>
      </c>
    </row>
    <row r="68" spans="1:4" ht="12.95" customHeight="1" x14ac:dyDescent="0.25">
      <c r="A68" s="2" t="s">
        <v>25</v>
      </c>
      <c r="B68" s="2" t="s">
        <v>977</v>
      </c>
      <c r="C68" s="5" t="s">
        <v>994</v>
      </c>
      <c r="D68" s="2" t="s">
        <v>1002</v>
      </c>
    </row>
    <row r="69" spans="1:4" ht="12.95" customHeight="1" x14ac:dyDescent="0.25">
      <c r="A69" s="2" t="s">
        <v>25</v>
      </c>
      <c r="B69" s="2" t="s">
        <v>977</v>
      </c>
      <c r="C69" s="5" t="s">
        <v>1003</v>
      </c>
      <c r="D69" s="2" t="s">
        <v>1004</v>
      </c>
    </row>
    <row r="70" spans="1:4" ht="12.95" customHeight="1" x14ac:dyDescent="0.25">
      <c r="A70" s="2" t="s">
        <v>25</v>
      </c>
      <c r="B70" s="2" t="s">
        <v>977</v>
      </c>
      <c r="C70" s="5" t="s">
        <v>1005</v>
      </c>
      <c r="D70" s="2" t="s">
        <v>1006</v>
      </c>
    </row>
    <row r="71" spans="1:4" ht="12.95" customHeight="1" x14ac:dyDescent="0.25">
      <c r="A71" s="2" t="s">
        <v>27</v>
      </c>
      <c r="B71" s="2" t="s">
        <v>977</v>
      </c>
      <c r="C71" s="5" t="s">
        <v>996</v>
      </c>
      <c r="D71" s="2" t="s">
        <v>997</v>
      </c>
    </row>
    <row r="72" spans="1:4" ht="12.95" customHeight="1" x14ac:dyDescent="0.25">
      <c r="A72" s="2" t="s">
        <v>27</v>
      </c>
      <c r="B72" s="2" t="s">
        <v>977</v>
      </c>
      <c r="C72" s="5" t="s">
        <v>978</v>
      </c>
      <c r="D72" s="2" t="s">
        <v>979</v>
      </c>
    </row>
    <row r="73" spans="1:4" ht="12.95" customHeight="1" x14ac:dyDescent="0.25">
      <c r="A73" s="2" t="s">
        <v>27</v>
      </c>
      <c r="B73" s="2" t="s">
        <v>977</v>
      </c>
      <c r="C73" s="5" t="s">
        <v>980</v>
      </c>
      <c r="D73" s="2" t="s">
        <v>981</v>
      </c>
    </row>
    <row r="74" spans="1:4" ht="12.95" customHeight="1" x14ac:dyDescent="0.25">
      <c r="A74" s="2" t="s">
        <v>27</v>
      </c>
      <c r="B74" s="2" t="s">
        <v>977</v>
      </c>
      <c r="C74" s="5" t="s">
        <v>982</v>
      </c>
      <c r="D74" s="2" t="s">
        <v>983</v>
      </c>
    </row>
    <row r="75" spans="1:4" ht="12.95" customHeight="1" x14ac:dyDescent="0.25">
      <c r="A75" s="2" t="s">
        <v>27</v>
      </c>
      <c r="B75" s="2" t="s">
        <v>977</v>
      </c>
      <c r="C75" s="5" t="s">
        <v>984</v>
      </c>
      <c r="D75" s="2" t="s">
        <v>998</v>
      </c>
    </row>
    <row r="76" spans="1:4" ht="12.95" customHeight="1" x14ac:dyDescent="0.25">
      <c r="A76" s="2" t="s">
        <v>27</v>
      </c>
      <c r="B76" s="2" t="s">
        <v>977</v>
      </c>
      <c r="C76" s="5" t="s">
        <v>986</v>
      </c>
      <c r="D76" s="2" t="s">
        <v>999</v>
      </c>
    </row>
    <row r="77" spans="1:4" ht="12.95" customHeight="1" x14ac:dyDescent="0.25">
      <c r="A77" s="2" t="s">
        <v>27</v>
      </c>
      <c r="B77" s="2" t="s">
        <v>977</v>
      </c>
      <c r="C77" s="5" t="s">
        <v>988</v>
      </c>
      <c r="D77" s="2" t="s">
        <v>1000</v>
      </c>
    </row>
    <row r="78" spans="1:4" ht="12.95" customHeight="1" x14ac:dyDescent="0.25">
      <c r="A78" s="2" t="s">
        <v>27</v>
      </c>
      <c r="B78" s="2" t="s">
        <v>977</v>
      </c>
      <c r="C78" s="5" t="s">
        <v>990</v>
      </c>
      <c r="D78" s="2" t="s">
        <v>1001</v>
      </c>
    </row>
    <row r="79" spans="1:4" ht="12.95" customHeight="1" x14ac:dyDescent="0.25">
      <c r="A79" s="2" t="s">
        <v>27</v>
      </c>
      <c r="B79" s="2" t="s">
        <v>977</v>
      </c>
      <c r="C79" s="5" t="s">
        <v>992</v>
      </c>
      <c r="D79" s="2" t="s">
        <v>853</v>
      </c>
    </row>
    <row r="80" spans="1:4" ht="12.95" customHeight="1" x14ac:dyDescent="0.25">
      <c r="A80" s="2" t="s">
        <v>27</v>
      </c>
      <c r="B80" s="2" t="s">
        <v>977</v>
      </c>
      <c r="C80" s="5" t="s">
        <v>994</v>
      </c>
      <c r="D80" s="2" t="s">
        <v>1002</v>
      </c>
    </row>
    <row r="81" spans="1:4" ht="12.95" customHeight="1" x14ac:dyDescent="0.25">
      <c r="A81" s="2" t="s">
        <v>27</v>
      </c>
      <c r="B81" s="2" t="s">
        <v>977</v>
      </c>
      <c r="C81" s="5" t="s">
        <v>1003</v>
      </c>
      <c r="D81" s="2" t="s">
        <v>1004</v>
      </c>
    </row>
    <row r="82" spans="1:4" ht="12.95" customHeight="1" x14ac:dyDescent="0.25">
      <c r="A82" s="2" t="s">
        <v>27</v>
      </c>
      <c r="B82" s="2" t="s">
        <v>977</v>
      </c>
      <c r="C82" s="5" t="s">
        <v>1005</v>
      </c>
      <c r="D82" s="2" t="s">
        <v>1006</v>
      </c>
    </row>
    <row r="83" spans="1:4" ht="12.95" customHeight="1" x14ac:dyDescent="0.25">
      <c r="A83" s="2" t="s">
        <v>29</v>
      </c>
      <c r="B83" s="2" t="s">
        <v>977</v>
      </c>
      <c r="C83" s="5" t="s">
        <v>996</v>
      </c>
      <c r="D83" s="2" t="s">
        <v>997</v>
      </c>
    </row>
    <row r="84" spans="1:4" ht="12.95" customHeight="1" x14ac:dyDescent="0.25">
      <c r="A84" s="2" t="s">
        <v>29</v>
      </c>
      <c r="B84" s="2" t="s">
        <v>977</v>
      </c>
      <c r="C84" s="5" t="s">
        <v>978</v>
      </c>
      <c r="D84" s="2" t="s">
        <v>979</v>
      </c>
    </row>
    <row r="85" spans="1:4" ht="12.95" customHeight="1" x14ac:dyDescent="0.25">
      <c r="A85" s="2" t="s">
        <v>29</v>
      </c>
      <c r="B85" s="2" t="s">
        <v>977</v>
      </c>
      <c r="C85" s="5" t="s">
        <v>980</v>
      </c>
      <c r="D85" s="2" t="s">
        <v>981</v>
      </c>
    </row>
    <row r="86" spans="1:4" ht="12.95" customHeight="1" x14ac:dyDescent="0.25">
      <c r="A86" s="2" t="s">
        <v>29</v>
      </c>
      <c r="B86" s="2" t="s">
        <v>977</v>
      </c>
      <c r="C86" s="5" t="s">
        <v>982</v>
      </c>
      <c r="D86" s="2" t="s">
        <v>983</v>
      </c>
    </row>
    <row r="87" spans="1:4" ht="12.95" customHeight="1" x14ac:dyDescent="0.25">
      <c r="A87" s="2" t="s">
        <v>29</v>
      </c>
      <c r="B87" s="2" t="s">
        <v>977</v>
      </c>
      <c r="C87" s="5" t="s">
        <v>984</v>
      </c>
      <c r="D87" s="2" t="s">
        <v>998</v>
      </c>
    </row>
    <row r="88" spans="1:4" ht="12.95" customHeight="1" x14ac:dyDescent="0.25">
      <c r="A88" s="2" t="s">
        <v>29</v>
      </c>
      <c r="B88" s="2" t="s">
        <v>977</v>
      </c>
      <c r="C88" s="5" t="s">
        <v>986</v>
      </c>
      <c r="D88" s="2" t="s">
        <v>999</v>
      </c>
    </row>
    <row r="89" spans="1:4" ht="12.95" customHeight="1" x14ac:dyDescent="0.25">
      <c r="A89" s="2" t="s">
        <v>29</v>
      </c>
      <c r="B89" s="2" t="s">
        <v>977</v>
      </c>
      <c r="C89" s="5" t="s">
        <v>988</v>
      </c>
      <c r="D89" s="2" t="s">
        <v>1000</v>
      </c>
    </row>
    <row r="90" spans="1:4" ht="12.95" customHeight="1" x14ac:dyDescent="0.25">
      <c r="A90" s="2" t="s">
        <v>29</v>
      </c>
      <c r="B90" s="2" t="s">
        <v>977</v>
      </c>
      <c r="C90" s="5" t="s">
        <v>990</v>
      </c>
      <c r="D90" s="2" t="s">
        <v>1001</v>
      </c>
    </row>
    <row r="91" spans="1:4" ht="12.95" customHeight="1" x14ac:dyDescent="0.25">
      <c r="A91" s="2" t="s">
        <v>29</v>
      </c>
      <c r="B91" s="2" t="s">
        <v>977</v>
      </c>
      <c r="C91" s="5" t="s">
        <v>992</v>
      </c>
      <c r="D91" s="2" t="s">
        <v>853</v>
      </c>
    </row>
    <row r="92" spans="1:4" ht="12.95" customHeight="1" x14ac:dyDescent="0.25">
      <c r="A92" s="2" t="s">
        <v>29</v>
      </c>
      <c r="B92" s="2" t="s">
        <v>977</v>
      </c>
      <c r="C92" s="5" t="s">
        <v>994</v>
      </c>
      <c r="D92" s="2" t="s">
        <v>1002</v>
      </c>
    </row>
    <row r="93" spans="1:4" ht="12.95" customHeight="1" x14ac:dyDescent="0.25">
      <c r="A93" s="2" t="s">
        <v>29</v>
      </c>
      <c r="B93" s="2" t="s">
        <v>977</v>
      </c>
      <c r="C93" s="5" t="s">
        <v>1003</v>
      </c>
      <c r="D93" s="2" t="s">
        <v>1004</v>
      </c>
    </row>
    <row r="94" spans="1:4" ht="12.95" customHeight="1" x14ac:dyDescent="0.25">
      <c r="A94" s="2" t="s">
        <v>29</v>
      </c>
      <c r="B94" s="2" t="s">
        <v>977</v>
      </c>
      <c r="C94" s="5" t="s">
        <v>1005</v>
      </c>
      <c r="D94" s="2" t="s">
        <v>1006</v>
      </c>
    </row>
    <row r="95" spans="1:4" ht="12.95" customHeight="1" x14ac:dyDescent="0.25">
      <c r="A95" s="2" t="s">
        <v>31</v>
      </c>
      <c r="B95" s="2" t="s">
        <v>977</v>
      </c>
      <c r="C95" s="5" t="s">
        <v>996</v>
      </c>
      <c r="D95" s="2" t="s">
        <v>997</v>
      </c>
    </row>
    <row r="96" spans="1:4" ht="12.95" customHeight="1" x14ac:dyDescent="0.25">
      <c r="A96" s="2" t="s">
        <v>31</v>
      </c>
      <c r="B96" s="2" t="s">
        <v>977</v>
      </c>
      <c r="C96" s="5" t="s">
        <v>978</v>
      </c>
      <c r="D96" s="2" t="s">
        <v>979</v>
      </c>
    </row>
    <row r="97" spans="1:4" ht="12.95" customHeight="1" x14ac:dyDescent="0.25">
      <c r="A97" s="2" t="s">
        <v>31</v>
      </c>
      <c r="B97" s="2" t="s">
        <v>977</v>
      </c>
      <c r="C97" s="5" t="s">
        <v>980</v>
      </c>
      <c r="D97" s="2" t="s">
        <v>981</v>
      </c>
    </row>
    <row r="98" spans="1:4" ht="12.95" customHeight="1" x14ac:dyDescent="0.25">
      <c r="A98" s="2" t="s">
        <v>31</v>
      </c>
      <c r="B98" s="2" t="s">
        <v>977</v>
      </c>
      <c r="C98" s="5" t="s">
        <v>982</v>
      </c>
      <c r="D98" s="2" t="s">
        <v>983</v>
      </c>
    </row>
    <row r="99" spans="1:4" ht="12.95" customHeight="1" x14ac:dyDescent="0.25">
      <c r="A99" s="2" t="s">
        <v>31</v>
      </c>
      <c r="B99" s="2" t="s">
        <v>977</v>
      </c>
      <c r="C99" s="5" t="s">
        <v>984</v>
      </c>
      <c r="D99" s="2" t="s">
        <v>998</v>
      </c>
    </row>
    <row r="100" spans="1:4" ht="12.95" customHeight="1" x14ac:dyDescent="0.25">
      <c r="A100" s="2" t="s">
        <v>31</v>
      </c>
      <c r="B100" s="2" t="s">
        <v>977</v>
      </c>
      <c r="C100" s="5" t="s">
        <v>986</v>
      </c>
      <c r="D100" s="2" t="s">
        <v>999</v>
      </c>
    </row>
    <row r="101" spans="1:4" ht="12.95" customHeight="1" x14ac:dyDescent="0.25">
      <c r="A101" s="2" t="s">
        <v>31</v>
      </c>
      <c r="B101" s="2" t="s">
        <v>977</v>
      </c>
      <c r="C101" s="5" t="s">
        <v>988</v>
      </c>
      <c r="D101" s="2" t="s">
        <v>1000</v>
      </c>
    </row>
    <row r="102" spans="1:4" ht="12.95" customHeight="1" x14ac:dyDescent="0.25">
      <c r="A102" s="2" t="s">
        <v>31</v>
      </c>
      <c r="B102" s="2" t="s">
        <v>977</v>
      </c>
      <c r="C102" s="5" t="s">
        <v>990</v>
      </c>
      <c r="D102" s="2" t="s">
        <v>1001</v>
      </c>
    </row>
    <row r="103" spans="1:4" ht="12.95" customHeight="1" x14ac:dyDescent="0.25">
      <c r="A103" s="2" t="s">
        <v>31</v>
      </c>
      <c r="B103" s="2" t="s">
        <v>977</v>
      </c>
      <c r="C103" s="5" t="s">
        <v>992</v>
      </c>
      <c r="D103" s="2" t="s">
        <v>853</v>
      </c>
    </row>
    <row r="104" spans="1:4" ht="12.95" customHeight="1" x14ac:dyDescent="0.25">
      <c r="A104" s="2" t="s">
        <v>31</v>
      </c>
      <c r="B104" s="2" t="s">
        <v>977</v>
      </c>
      <c r="C104" s="5" t="s">
        <v>994</v>
      </c>
      <c r="D104" s="2" t="s">
        <v>1002</v>
      </c>
    </row>
    <row r="105" spans="1:4" ht="12.95" customHeight="1" x14ac:dyDescent="0.25">
      <c r="A105" s="2" t="s">
        <v>31</v>
      </c>
      <c r="B105" s="2" t="s">
        <v>977</v>
      </c>
      <c r="C105" s="5" t="s">
        <v>1003</v>
      </c>
      <c r="D105" s="2" t="s">
        <v>1004</v>
      </c>
    </row>
    <row r="106" spans="1:4" ht="12.95" customHeight="1" x14ac:dyDescent="0.25">
      <c r="A106" s="2" t="s">
        <v>31</v>
      </c>
      <c r="B106" s="2" t="s">
        <v>977</v>
      </c>
      <c r="C106" s="5" t="s">
        <v>1005</v>
      </c>
      <c r="D106" s="2" t="s">
        <v>1006</v>
      </c>
    </row>
    <row r="107" spans="1:4" ht="12.95" customHeight="1" x14ac:dyDescent="0.25">
      <c r="A107" s="2" t="s">
        <v>33</v>
      </c>
      <c r="B107" s="2" t="s">
        <v>977</v>
      </c>
      <c r="C107" s="5" t="s">
        <v>996</v>
      </c>
      <c r="D107" s="2" t="s">
        <v>997</v>
      </c>
    </row>
    <row r="108" spans="1:4" ht="12.95" customHeight="1" x14ac:dyDescent="0.25">
      <c r="A108" s="2" t="s">
        <v>33</v>
      </c>
      <c r="B108" s="2" t="s">
        <v>977</v>
      </c>
      <c r="C108" s="5" t="s">
        <v>982</v>
      </c>
      <c r="D108" s="2" t="s">
        <v>983</v>
      </c>
    </row>
    <row r="109" spans="1:4" ht="12.95" customHeight="1" x14ac:dyDescent="0.25">
      <c r="A109" s="2" t="s">
        <v>35</v>
      </c>
      <c r="B109" s="2" t="s">
        <v>977</v>
      </c>
      <c r="C109" s="5" t="s">
        <v>996</v>
      </c>
      <c r="D109" s="2" t="s">
        <v>997</v>
      </c>
    </row>
    <row r="110" spans="1:4" ht="12.95" customHeight="1" x14ac:dyDescent="0.25">
      <c r="A110" s="2" t="s">
        <v>35</v>
      </c>
      <c r="B110" s="2" t="s">
        <v>977</v>
      </c>
      <c r="C110" s="5" t="s">
        <v>978</v>
      </c>
      <c r="D110" s="2" t="s">
        <v>979</v>
      </c>
    </row>
    <row r="111" spans="1:4" ht="12.95" customHeight="1" x14ac:dyDescent="0.25">
      <c r="A111" s="2" t="s">
        <v>35</v>
      </c>
      <c r="B111" s="2" t="s">
        <v>977</v>
      </c>
      <c r="C111" s="5" t="s">
        <v>980</v>
      </c>
      <c r="D111" s="2" t="s">
        <v>981</v>
      </c>
    </row>
    <row r="112" spans="1:4" ht="12.95" customHeight="1" x14ac:dyDescent="0.25">
      <c r="A112" s="2" t="s">
        <v>35</v>
      </c>
      <c r="B112" s="2" t="s">
        <v>977</v>
      </c>
      <c r="C112" s="5" t="s">
        <v>982</v>
      </c>
      <c r="D112" s="2" t="s">
        <v>983</v>
      </c>
    </row>
    <row r="113" spans="1:4" ht="12.95" customHeight="1" x14ac:dyDescent="0.25">
      <c r="A113" s="2" t="s">
        <v>35</v>
      </c>
      <c r="B113" s="2" t="s">
        <v>977</v>
      </c>
      <c r="C113" s="5" t="s">
        <v>984</v>
      </c>
      <c r="D113" s="2" t="s">
        <v>998</v>
      </c>
    </row>
    <row r="114" spans="1:4" ht="12.95" customHeight="1" x14ac:dyDescent="0.25">
      <c r="A114" s="2" t="s">
        <v>35</v>
      </c>
      <c r="B114" s="2" t="s">
        <v>977</v>
      </c>
      <c r="C114" s="5" t="s">
        <v>986</v>
      </c>
      <c r="D114" s="2" t="s">
        <v>999</v>
      </c>
    </row>
    <row r="115" spans="1:4" ht="12.95" customHeight="1" x14ac:dyDescent="0.25">
      <c r="A115" s="2" t="s">
        <v>35</v>
      </c>
      <c r="B115" s="2" t="s">
        <v>977</v>
      </c>
      <c r="C115" s="5" t="s">
        <v>988</v>
      </c>
      <c r="D115" s="2" t="s">
        <v>1000</v>
      </c>
    </row>
    <row r="116" spans="1:4" ht="12.95" customHeight="1" x14ac:dyDescent="0.25">
      <c r="A116" s="2" t="s">
        <v>35</v>
      </c>
      <c r="B116" s="2" t="s">
        <v>977</v>
      </c>
      <c r="C116" s="5" t="s">
        <v>990</v>
      </c>
      <c r="D116" s="2" t="s">
        <v>1001</v>
      </c>
    </row>
    <row r="117" spans="1:4" ht="12.95" customHeight="1" x14ac:dyDescent="0.25">
      <c r="A117" s="2" t="s">
        <v>35</v>
      </c>
      <c r="B117" s="2" t="s">
        <v>977</v>
      </c>
      <c r="C117" s="5" t="s">
        <v>992</v>
      </c>
      <c r="D117" s="2" t="s">
        <v>853</v>
      </c>
    </row>
    <row r="118" spans="1:4" ht="12.95" customHeight="1" x14ac:dyDescent="0.25">
      <c r="A118" s="2" t="s">
        <v>35</v>
      </c>
      <c r="B118" s="2" t="s">
        <v>977</v>
      </c>
      <c r="C118" s="5" t="s">
        <v>994</v>
      </c>
      <c r="D118" s="2" t="s">
        <v>1002</v>
      </c>
    </row>
    <row r="119" spans="1:4" ht="12.95" customHeight="1" x14ac:dyDescent="0.25">
      <c r="A119" s="2" t="s">
        <v>35</v>
      </c>
      <c r="B119" s="2" t="s">
        <v>977</v>
      </c>
      <c r="C119" s="5" t="s">
        <v>1003</v>
      </c>
      <c r="D119" s="2" t="s">
        <v>1004</v>
      </c>
    </row>
    <row r="120" spans="1:4" ht="12.95" customHeight="1" x14ac:dyDescent="0.25">
      <c r="A120" s="2" t="s">
        <v>35</v>
      </c>
      <c r="B120" s="2" t="s">
        <v>977</v>
      </c>
      <c r="C120" s="5" t="s">
        <v>1005</v>
      </c>
      <c r="D120" s="2" t="s">
        <v>1006</v>
      </c>
    </row>
    <row r="121" spans="1:4" ht="12.95" customHeight="1" x14ac:dyDescent="0.25">
      <c r="A121" s="2" t="s">
        <v>37</v>
      </c>
      <c r="B121" s="2" t="s">
        <v>977</v>
      </c>
      <c r="C121" s="5" t="s">
        <v>996</v>
      </c>
      <c r="D121" s="2" t="s">
        <v>997</v>
      </c>
    </row>
    <row r="122" spans="1:4" ht="12.95" customHeight="1" x14ac:dyDescent="0.25">
      <c r="A122" s="2" t="s">
        <v>37</v>
      </c>
      <c r="B122" s="2" t="s">
        <v>977</v>
      </c>
      <c r="C122" s="5" t="s">
        <v>978</v>
      </c>
      <c r="D122" s="2" t="s">
        <v>979</v>
      </c>
    </row>
    <row r="123" spans="1:4" ht="12.95" customHeight="1" x14ac:dyDescent="0.25">
      <c r="A123" s="2" t="s">
        <v>37</v>
      </c>
      <c r="B123" s="2" t="s">
        <v>977</v>
      </c>
      <c r="C123" s="5" t="s">
        <v>980</v>
      </c>
      <c r="D123" s="2" t="s">
        <v>981</v>
      </c>
    </row>
    <row r="124" spans="1:4" ht="12.95" customHeight="1" x14ac:dyDescent="0.25">
      <c r="A124" s="2" t="s">
        <v>37</v>
      </c>
      <c r="B124" s="2" t="s">
        <v>977</v>
      </c>
      <c r="C124" s="5" t="s">
        <v>982</v>
      </c>
      <c r="D124" s="2" t="s">
        <v>983</v>
      </c>
    </row>
    <row r="125" spans="1:4" ht="12.95" customHeight="1" x14ac:dyDescent="0.25">
      <c r="A125" s="2" t="s">
        <v>37</v>
      </c>
      <c r="B125" s="2" t="s">
        <v>977</v>
      </c>
      <c r="C125" s="5" t="s">
        <v>984</v>
      </c>
      <c r="D125" s="2" t="s">
        <v>998</v>
      </c>
    </row>
    <row r="126" spans="1:4" ht="12.95" customHeight="1" x14ac:dyDescent="0.25">
      <c r="A126" s="2" t="s">
        <v>37</v>
      </c>
      <c r="B126" s="2" t="s">
        <v>977</v>
      </c>
      <c r="C126" s="5" t="s">
        <v>986</v>
      </c>
      <c r="D126" s="2" t="s">
        <v>999</v>
      </c>
    </row>
    <row r="127" spans="1:4" ht="12.95" customHeight="1" x14ac:dyDescent="0.25">
      <c r="A127" s="2" t="s">
        <v>37</v>
      </c>
      <c r="B127" s="2" t="s">
        <v>977</v>
      </c>
      <c r="C127" s="5" t="s">
        <v>988</v>
      </c>
      <c r="D127" s="2" t="s">
        <v>1000</v>
      </c>
    </row>
    <row r="128" spans="1:4" ht="12.95" customHeight="1" x14ac:dyDescent="0.25">
      <c r="A128" s="2" t="s">
        <v>37</v>
      </c>
      <c r="B128" s="2" t="s">
        <v>977</v>
      </c>
      <c r="C128" s="5" t="s">
        <v>990</v>
      </c>
      <c r="D128" s="2" t="s">
        <v>1001</v>
      </c>
    </row>
    <row r="129" spans="1:4" ht="12.95" customHeight="1" x14ac:dyDescent="0.25">
      <c r="A129" s="2" t="s">
        <v>37</v>
      </c>
      <c r="B129" s="2" t="s">
        <v>977</v>
      </c>
      <c r="C129" s="5" t="s">
        <v>992</v>
      </c>
      <c r="D129" s="2" t="s">
        <v>853</v>
      </c>
    </row>
    <row r="130" spans="1:4" ht="12.95" customHeight="1" x14ac:dyDescent="0.25">
      <c r="A130" s="2" t="s">
        <v>37</v>
      </c>
      <c r="B130" s="2" t="s">
        <v>977</v>
      </c>
      <c r="C130" s="5" t="s">
        <v>994</v>
      </c>
      <c r="D130" s="2" t="s">
        <v>1002</v>
      </c>
    </row>
    <row r="131" spans="1:4" ht="12.95" customHeight="1" x14ac:dyDescent="0.25">
      <c r="A131" s="2" t="s">
        <v>37</v>
      </c>
      <c r="B131" s="2" t="s">
        <v>977</v>
      </c>
      <c r="C131" s="5" t="s">
        <v>1003</v>
      </c>
      <c r="D131" s="2" t="s">
        <v>1004</v>
      </c>
    </row>
    <row r="132" spans="1:4" ht="12.95" customHeight="1" x14ac:dyDescent="0.25">
      <c r="A132" s="2" t="s">
        <v>37</v>
      </c>
      <c r="B132" s="2" t="s">
        <v>977</v>
      </c>
      <c r="C132" s="5" t="s">
        <v>1005</v>
      </c>
      <c r="D132" s="2" t="s">
        <v>1006</v>
      </c>
    </row>
    <row r="133" spans="1:4" ht="12.95" customHeight="1" x14ac:dyDescent="0.25">
      <c r="A133" s="2" t="s">
        <v>39</v>
      </c>
      <c r="B133" s="2" t="s">
        <v>1007</v>
      </c>
      <c r="C133" s="5" t="s">
        <v>996</v>
      </c>
      <c r="D133" s="2" t="s">
        <v>997</v>
      </c>
    </row>
    <row r="134" spans="1:4" ht="12.95" customHeight="1" x14ac:dyDescent="0.25">
      <c r="A134" s="2" t="s">
        <v>39</v>
      </c>
      <c r="B134" s="2" t="s">
        <v>1007</v>
      </c>
      <c r="C134" s="5" t="s">
        <v>982</v>
      </c>
      <c r="D134" s="2" t="s">
        <v>983</v>
      </c>
    </row>
    <row r="135" spans="1:4" ht="12.95" customHeight="1" x14ac:dyDescent="0.25">
      <c r="A135" s="2" t="s">
        <v>42</v>
      </c>
      <c r="B135" s="2" t="s">
        <v>977</v>
      </c>
      <c r="C135" s="5" t="s">
        <v>996</v>
      </c>
      <c r="D135" s="2" t="s">
        <v>997</v>
      </c>
    </row>
    <row r="136" spans="1:4" ht="12.95" customHeight="1" x14ac:dyDescent="0.25">
      <c r="A136" s="2" t="s">
        <v>42</v>
      </c>
      <c r="B136" s="2" t="s">
        <v>977</v>
      </c>
      <c r="C136" s="5" t="s">
        <v>978</v>
      </c>
      <c r="D136" s="2" t="s">
        <v>979</v>
      </c>
    </row>
    <row r="137" spans="1:4" ht="12.95" customHeight="1" x14ac:dyDescent="0.25">
      <c r="A137" s="2" t="s">
        <v>42</v>
      </c>
      <c r="B137" s="2" t="s">
        <v>977</v>
      </c>
      <c r="C137" s="5" t="s">
        <v>980</v>
      </c>
      <c r="D137" s="2" t="s">
        <v>981</v>
      </c>
    </row>
    <row r="138" spans="1:4" ht="12.95" customHeight="1" x14ac:dyDescent="0.25">
      <c r="A138" s="2" t="s">
        <v>42</v>
      </c>
      <c r="B138" s="2" t="s">
        <v>977</v>
      </c>
      <c r="C138" s="5" t="s">
        <v>982</v>
      </c>
      <c r="D138" s="2" t="s">
        <v>983</v>
      </c>
    </row>
    <row r="139" spans="1:4" ht="12.95" customHeight="1" x14ac:dyDescent="0.25">
      <c r="A139" s="2" t="s">
        <v>42</v>
      </c>
      <c r="B139" s="2" t="s">
        <v>977</v>
      </c>
      <c r="C139" s="5" t="s">
        <v>988</v>
      </c>
      <c r="D139" s="2" t="s">
        <v>1008</v>
      </c>
    </row>
    <row r="140" spans="1:4" ht="12.95" customHeight="1" x14ac:dyDescent="0.25">
      <c r="A140" s="2" t="s">
        <v>42</v>
      </c>
      <c r="B140" s="2" t="s">
        <v>977</v>
      </c>
      <c r="C140" s="5" t="s">
        <v>990</v>
      </c>
      <c r="D140" s="2" t="s">
        <v>1009</v>
      </c>
    </row>
    <row r="141" spans="1:4" ht="12.95" customHeight="1" x14ac:dyDescent="0.25">
      <c r="A141" s="2" t="s">
        <v>42</v>
      </c>
      <c r="B141" s="2" t="s">
        <v>977</v>
      </c>
      <c r="C141" s="5" t="s">
        <v>992</v>
      </c>
      <c r="D141" s="2" t="s">
        <v>1010</v>
      </c>
    </row>
    <row r="142" spans="1:4" ht="12.95" customHeight="1" x14ac:dyDescent="0.25">
      <c r="A142" s="2" t="s">
        <v>42</v>
      </c>
      <c r="B142" s="2" t="s">
        <v>977</v>
      </c>
      <c r="C142" s="5" t="s">
        <v>994</v>
      </c>
      <c r="D142" s="2" t="s">
        <v>1011</v>
      </c>
    </row>
    <row r="143" spans="1:4" ht="12.95" customHeight="1" x14ac:dyDescent="0.25">
      <c r="A143" s="2" t="s">
        <v>42</v>
      </c>
      <c r="B143" s="2" t="s">
        <v>977</v>
      </c>
      <c r="C143" s="5" t="s">
        <v>1003</v>
      </c>
      <c r="D143" s="2" t="s">
        <v>1012</v>
      </c>
    </row>
    <row r="144" spans="1:4" ht="12.95" customHeight="1" x14ac:dyDescent="0.25">
      <c r="A144" s="2" t="s">
        <v>42</v>
      </c>
      <c r="B144" s="2" t="s">
        <v>977</v>
      </c>
      <c r="C144" s="5" t="s">
        <v>1013</v>
      </c>
      <c r="D144" s="2" t="s">
        <v>1014</v>
      </c>
    </row>
    <row r="145" spans="1:4" ht="12.95" customHeight="1" x14ac:dyDescent="0.25">
      <c r="A145" s="2" t="s">
        <v>42</v>
      </c>
      <c r="B145" s="2" t="s">
        <v>977</v>
      </c>
      <c r="C145" s="5" t="s">
        <v>1015</v>
      </c>
      <c r="D145" s="2" t="s">
        <v>1016</v>
      </c>
    </row>
    <row r="146" spans="1:4" ht="12.95" customHeight="1" x14ac:dyDescent="0.25">
      <c r="A146" s="2" t="s">
        <v>42</v>
      </c>
      <c r="B146" s="2" t="s">
        <v>977</v>
      </c>
      <c r="C146" s="5" t="s">
        <v>1017</v>
      </c>
      <c r="D146" s="2" t="s">
        <v>1018</v>
      </c>
    </row>
    <row r="147" spans="1:4" ht="12.95" customHeight="1" x14ac:dyDescent="0.25">
      <c r="A147" s="2" t="s">
        <v>42</v>
      </c>
      <c r="B147" s="2" t="s">
        <v>977</v>
      </c>
      <c r="C147" s="5" t="s">
        <v>1019</v>
      </c>
      <c r="D147" s="2" t="s">
        <v>1020</v>
      </c>
    </row>
    <row r="148" spans="1:4" ht="12.95" customHeight="1" x14ac:dyDescent="0.25">
      <c r="A148" s="2" t="s">
        <v>42</v>
      </c>
      <c r="B148" s="2" t="s">
        <v>977</v>
      </c>
      <c r="C148" s="5" t="s">
        <v>1021</v>
      </c>
      <c r="D148" s="2" t="s">
        <v>1022</v>
      </c>
    </row>
    <row r="149" spans="1:4" ht="12.95" customHeight="1" x14ac:dyDescent="0.25">
      <c r="A149" s="2" t="s">
        <v>42</v>
      </c>
      <c r="B149" s="2" t="s">
        <v>977</v>
      </c>
      <c r="C149" s="5" t="s">
        <v>1023</v>
      </c>
      <c r="D149" s="2" t="s">
        <v>1024</v>
      </c>
    </row>
    <row r="150" spans="1:4" ht="12.95" customHeight="1" x14ac:dyDescent="0.25">
      <c r="A150" s="2" t="s">
        <v>42</v>
      </c>
      <c r="B150" s="2" t="s">
        <v>977</v>
      </c>
      <c r="C150" s="5" t="s">
        <v>1025</v>
      </c>
      <c r="D150" s="2" t="s">
        <v>1026</v>
      </c>
    </row>
    <row r="151" spans="1:4" ht="12.95" customHeight="1" x14ac:dyDescent="0.25">
      <c r="A151" s="2" t="s">
        <v>42</v>
      </c>
      <c r="B151" s="2" t="s">
        <v>977</v>
      </c>
      <c r="C151" s="5" t="s">
        <v>1027</v>
      </c>
      <c r="D151" s="2" t="s">
        <v>1028</v>
      </c>
    </row>
    <row r="152" spans="1:4" ht="12.95" customHeight="1" x14ac:dyDescent="0.25">
      <c r="A152" s="2" t="s">
        <v>42</v>
      </c>
      <c r="B152" s="2" t="s">
        <v>977</v>
      </c>
      <c r="C152" s="5" t="s">
        <v>1029</v>
      </c>
      <c r="D152" s="2" t="s">
        <v>1030</v>
      </c>
    </row>
    <row r="153" spans="1:4" ht="12.95" customHeight="1" x14ac:dyDescent="0.25">
      <c r="A153" s="2" t="s">
        <v>42</v>
      </c>
      <c r="B153" s="2" t="s">
        <v>977</v>
      </c>
      <c r="C153" s="5" t="s">
        <v>1031</v>
      </c>
      <c r="D153" s="2" t="s">
        <v>1032</v>
      </c>
    </row>
    <row r="154" spans="1:4" ht="12.95" customHeight="1" x14ac:dyDescent="0.25">
      <c r="A154" s="2" t="s">
        <v>42</v>
      </c>
      <c r="B154" s="2" t="s">
        <v>977</v>
      </c>
      <c r="C154" s="5" t="s">
        <v>1033</v>
      </c>
      <c r="D154" s="2" t="s">
        <v>1034</v>
      </c>
    </row>
    <row r="155" spans="1:4" ht="12.95" customHeight="1" x14ac:dyDescent="0.25">
      <c r="A155" s="2" t="s">
        <v>42</v>
      </c>
      <c r="B155" s="2" t="s">
        <v>977</v>
      </c>
      <c r="C155" s="5" t="s">
        <v>1035</v>
      </c>
      <c r="D155" s="2" t="s">
        <v>1036</v>
      </c>
    </row>
    <row r="156" spans="1:4" ht="12.95" customHeight="1" x14ac:dyDescent="0.25">
      <c r="A156" s="2" t="s">
        <v>42</v>
      </c>
      <c r="B156" s="2" t="s">
        <v>977</v>
      </c>
      <c r="C156" s="5" t="s">
        <v>1005</v>
      </c>
      <c r="D156" s="2" t="s">
        <v>1037</v>
      </c>
    </row>
    <row r="157" spans="1:4" ht="12.95" customHeight="1" x14ac:dyDescent="0.25">
      <c r="A157" s="2" t="s">
        <v>44</v>
      </c>
      <c r="B157" s="2" t="s">
        <v>977</v>
      </c>
      <c r="C157" s="5" t="s">
        <v>996</v>
      </c>
      <c r="D157" s="2" t="s">
        <v>997</v>
      </c>
    </row>
    <row r="158" spans="1:4" ht="12.95" customHeight="1" x14ac:dyDescent="0.25">
      <c r="A158" s="2" t="s">
        <v>44</v>
      </c>
      <c r="B158" s="2" t="s">
        <v>977</v>
      </c>
      <c r="C158" s="5" t="s">
        <v>978</v>
      </c>
      <c r="D158" s="2" t="s">
        <v>979</v>
      </c>
    </row>
    <row r="159" spans="1:4" ht="12.95" customHeight="1" x14ac:dyDescent="0.25">
      <c r="A159" s="2" t="s">
        <v>44</v>
      </c>
      <c r="B159" s="2" t="s">
        <v>977</v>
      </c>
      <c r="C159" s="5" t="s">
        <v>980</v>
      </c>
      <c r="D159" s="2" t="s">
        <v>981</v>
      </c>
    </row>
    <row r="160" spans="1:4" ht="12.95" customHeight="1" x14ac:dyDescent="0.25">
      <c r="A160" s="2" t="s">
        <v>44</v>
      </c>
      <c r="B160" s="2" t="s">
        <v>977</v>
      </c>
      <c r="C160" s="5" t="s">
        <v>982</v>
      </c>
      <c r="D160" s="2" t="s">
        <v>983</v>
      </c>
    </row>
    <row r="161" spans="1:4" ht="12.95" customHeight="1" x14ac:dyDescent="0.25">
      <c r="A161" s="2" t="s">
        <v>44</v>
      </c>
      <c r="B161" s="2" t="s">
        <v>977</v>
      </c>
      <c r="C161" s="5" t="s">
        <v>984</v>
      </c>
      <c r="D161" s="2" t="s">
        <v>1038</v>
      </c>
    </row>
    <row r="162" spans="1:4" ht="12.95" customHeight="1" x14ac:dyDescent="0.25">
      <c r="A162" s="2" t="s">
        <v>44</v>
      </c>
      <c r="B162" s="2" t="s">
        <v>977</v>
      </c>
      <c r="C162" s="5" t="s">
        <v>986</v>
      </c>
      <c r="D162" s="2" t="s">
        <v>1039</v>
      </c>
    </row>
    <row r="163" spans="1:4" ht="12.95" customHeight="1" x14ac:dyDescent="0.25">
      <c r="A163" s="2" t="s">
        <v>44</v>
      </c>
      <c r="B163" s="2" t="s">
        <v>977</v>
      </c>
      <c r="C163" s="5" t="s">
        <v>988</v>
      </c>
      <c r="D163" s="2" t="s">
        <v>1008</v>
      </c>
    </row>
    <row r="164" spans="1:4" ht="12.95" customHeight="1" x14ac:dyDescent="0.25">
      <c r="A164" s="2" t="s">
        <v>44</v>
      </c>
      <c r="B164" s="2" t="s">
        <v>977</v>
      </c>
      <c r="C164" s="5" t="s">
        <v>990</v>
      </c>
      <c r="D164" s="2" t="s">
        <v>1009</v>
      </c>
    </row>
    <row r="165" spans="1:4" ht="12.95" customHeight="1" x14ac:dyDescent="0.25">
      <c r="A165" s="2" t="s">
        <v>44</v>
      </c>
      <c r="B165" s="2" t="s">
        <v>977</v>
      </c>
      <c r="C165" s="5" t="s">
        <v>992</v>
      </c>
      <c r="D165" s="2" t="s">
        <v>1010</v>
      </c>
    </row>
    <row r="166" spans="1:4" ht="12.95" customHeight="1" x14ac:dyDescent="0.25">
      <c r="A166" s="2" t="s">
        <v>44</v>
      </c>
      <c r="B166" s="2" t="s">
        <v>977</v>
      </c>
      <c r="C166" s="5" t="s">
        <v>994</v>
      </c>
      <c r="D166" s="2" t="s">
        <v>1011</v>
      </c>
    </row>
    <row r="167" spans="1:4" ht="12.95" customHeight="1" x14ac:dyDescent="0.25">
      <c r="A167" s="2" t="s">
        <v>44</v>
      </c>
      <c r="B167" s="2" t="s">
        <v>977</v>
      </c>
      <c r="C167" s="5" t="s">
        <v>1003</v>
      </c>
      <c r="D167" s="2" t="s">
        <v>1012</v>
      </c>
    </row>
    <row r="168" spans="1:4" ht="12.95" customHeight="1" x14ac:dyDescent="0.25">
      <c r="A168" s="2" t="s">
        <v>44</v>
      </c>
      <c r="B168" s="2" t="s">
        <v>977</v>
      </c>
      <c r="C168" s="5" t="s">
        <v>1013</v>
      </c>
      <c r="D168" s="2" t="s">
        <v>1014</v>
      </c>
    </row>
    <row r="169" spans="1:4" ht="12.95" customHeight="1" x14ac:dyDescent="0.25">
      <c r="A169" s="2" t="s">
        <v>44</v>
      </c>
      <c r="B169" s="2" t="s">
        <v>977</v>
      </c>
      <c r="C169" s="5" t="s">
        <v>1015</v>
      </c>
      <c r="D169" s="2" t="s">
        <v>1016</v>
      </c>
    </row>
    <row r="170" spans="1:4" ht="12.95" customHeight="1" x14ac:dyDescent="0.25">
      <c r="A170" s="2" t="s">
        <v>44</v>
      </c>
      <c r="B170" s="2" t="s">
        <v>977</v>
      </c>
      <c r="C170" s="5" t="s">
        <v>1017</v>
      </c>
      <c r="D170" s="2" t="s">
        <v>1018</v>
      </c>
    </row>
    <row r="171" spans="1:4" ht="12.95" customHeight="1" x14ac:dyDescent="0.25">
      <c r="A171" s="2" t="s">
        <v>44</v>
      </c>
      <c r="B171" s="2" t="s">
        <v>977</v>
      </c>
      <c r="C171" s="5" t="s">
        <v>1019</v>
      </c>
      <c r="D171" s="2" t="s">
        <v>1020</v>
      </c>
    </row>
    <row r="172" spans="1:4" ht="12.95" customHeight="1" x14ac:dyDescent="0.25">
      <c r="A172" s="2" t="s">
        <v>44</v>
      </c>
      <c r="B172" s="2" t="s">
        <v>977</v>
      </c>
      <c r="C172" s="5" t="s">
        <v>1021</v>
      </c>
      <c r="D172" s="2" t="s">
        <v>1022</v>
      </c>
    </row>
    <row r="173" spans="1:4" ht="12.95" customHeight="1" x14ac:dyDescent="0.25">
      <c r="A173" s="2" t="s">
        <v>44</v>
      </c>
      <c r="B173" s="2" t="s">
        <v>977</v>
      </c>
      <c r="C173" s="5" t="s">
        <v>1023</v>
      </c>
      <c r="D173" s="2" t="s">
        <v>1024</v>
      </c>
    </row>
    <row r="174" spans="1:4" ht="12.95" customHeight="1" x14ac:dyDescent="0.25">
      <c r="A174" s="2" t="s">
        <v>44</v>
      </c>
      <c r="B174" s="2" t="s">
        <v>977</v>
      </c>
      <c r="C174" s="5" t="s">
        <v>1025</v>
      </c>
      <c r="D174" s="2" t="s">
        <v>1026</v>
      </c>
    </row>
    <row r="175" spans="1:4" ht="12.95" customHeight="1" x14ac:dyDescent="0.25">
      <c r="A175" s="2" t="s">
        <v>44</v>
      </c>
      <c r="B175" s="2" t="s">
        <v>977</v>
      </c>
      <c r="C175" s="5" t="s">
        <v>1027</v>
      </c>
      <c r="D175" s="2" t="s">
        <v>1028</v>
      </c>
    </row>
    <row r="176" spans="1:4" ht="12.95" customHeight="1" x14ac:dyDescent="0.25">
      <c r="A176" s="2" t="s">
        <v>44</v>
      </c>
      <c r="B176" s="2" t="s">
        <v>977</v>
      </c>
      <c r="C176" s="5" t="s">
        <v>1029</v>
      </c>
      <c r="D176" s="2" t="s">
        <v>1030</v>
      </c>
    </row>
    <row r="177" spans="1:4" ht="12.95" customHeight="1" x14ac:dyDescent="0.25">
      <c r="A177" s="2" t="s">
        <v>44</v>
      </c>
      <c r="B177" s="2" t="s">
        <v>977</v>
      </c>
      <c r="C177" s="5" t="s">
        <v>1031</v>
      </c>
      <c r="D177" s="2" t="s">
        <v>1032</v>
      </c>
    </row>
    <row r="178" spans="1:4" ht="12.95" customHeight="1" x14ac:dyDescent="0.25">
      <c r="A178" s="2" t="s">
        <v>44</v>
      </c>
      <c r="B178" s="2" t="s">
        <v>977</v>
      </c>
      <c r="C178" s="5" t="s">
        <v>1033</v>
      </c>
      <c r="D178" s="2" t="s">
        <v>1034</v>
      </c>
    </row>
    <row r="179" spans="1:4" ht="12.95" customHeight="1" x14ac:dyDescent="0.25">
      <c r="A179" s="2" t="s">
        <v>44</v>
      </c>
      <c r="B179" s="2" t="s">
        <v>977</v>
      </c>
      <c r="C179" s="5" t="s">
        <v>1035</v>
      </c>
      <c r="D179" s="2" t="s">
        <v>1036</v>
      </c>
    </row>
    <row r="180" spans="1:4" ht="12.95" customHeight="1" x14ac:dyDescent="0.25">
      <c r="A180" s="2" t="s">
        <v>44</v>
      </c>
      <c r="B180" s="2" t="s">
        <v>977</v>
      </c>
      <c r="C180" s="5" t="s">
        <v>1005</v>
      </c>
      <c r="D180" s="2" t="s">
        <v>1037</v>
      </c>
    </row>
    <row r="181" spans="1:4" ht="12.95" customHeight="1" x14ac:dyDescent="0.25">
      <c r="A181" s="2" t="s">
        <v>46</v>
      </c>
      <c r="B181" s="2" t="s">
        <v>1040</v>
      </c>
      <c r="C181" s="5" t="s">
        <v>978</v>
      </c>
      <c r="D181" s="2" t="s">
        <v>979</v>
      </c>
    </row>
    <row r="182" spans="1:4" ht="12.95" customHeight="1" x14ac:dyDescent="0.25">
      <c r="A182" s="2" t="s">
        <v>46</v>
      </c>
      <c r="B182" s="2" t="s">
        <v>1040</v>
      </c>
      <c r="C182" s="5" t="s">
        <v>980</v>
      </c>
      <c r="D182" s="2" t="s">
        <v>1041</v>
      </c>
    </row>
    <row r="183" spans="1:4" ht="12.95" customHeight="1" x14ac:dyDescent="0.25">
      <c r="A183" s="2" t="s">
        <v>46</v>
      </c>
      <c r="B183" s="2" t="s">
        <v>1040</v>
      </c>
      <c r="C183" s="5" t="s">
        <v>982</v>
      </c>
      <c r="D183" s="2" t="s">
        <v>983</v>
      </c>
    </row>
    <row r="184" spans="1:4" ht="12.95" customHeight="1" x14ac:dyDescent="0.25">
      <c r="A184" s="2" t="s">
        <v>46</v>
      </c>
      <c r="B184" s="2" t="s">
        <v>1040</v>
      </c>
      <c r="C184" s="5" t="s">
        <v>984</v>
      </c>
      <c r="D184" s="2" t="s">
        <v>1042</v>
      </c>
    </row>
    <row r="185" spans="1:4" ht="12.95" customHeight="1" x14ac:dyDescent="0.25">
      <c r="A185" s="2" t="s">
        <v>46</v>
      </c>
      <c r="B185" s="2" t="s">
        <v>1040</v>
      </c>
      <c r="C185" s="5" t="s">
        <v>986</v>
      </c>
      <c r="D185" s="2" t="s">
        <v>1043</v>
      </c>
    </row>
    <row r="186" spans="1:4" ht="12.95" customHeight="1" x14ac:dyDescent="0.25">
      <c r="A186" s="2" t="s">
        <v>46</v>
      </c>
      <c r="B186" s="2" t="s">
        <v>1040</v>
      </c>
      <c r="C186" s="5" t="s">
        <v>988</v>
      </c>
      <c r="D186" s="2" t="s">
        <v>1044</v>
      </c>
    </row>
    <row r="187" spans="1:4" ht="12.95" customHeight="1" x14ac:dyDescent="0.25">
      <c r="A187" s="2" t="s">
        <v>46</v>
      </c>
      <c r="B187" s="2" t="s">
        <v>1040</v>
      </c>
      <c r="C187" s="5" t="s">
        <v>990</v>
      </c>
      <c r="D187" s="2" t="s">
        <v>1045</v>
      </c>
    </row>
    <row r="188" spans="1:4" ht="12.95" customHeight="1" x14ac:dyDescent="0.25">
      <c r="A188" s="2" t="s">
        <v>46</v>
      </c>
      <c r="B188" s="2" t="s">
        <v>1040</v>
      </c>
      <c r="C188" s="5" t="s">
        <v>992</v>
      </c>
      <c r="D188" s="2" t="s">
        <v>1046</v>
      </c>
    </row>
    <row r="189" spans="1:4" ht="12.95" customHeight="1" x14ac:dyDescent="0.25">
      <c r="A189" s="2" t="s">
        <v>49</v>
      </c>
      <c r="B189" s="2" t="s">
        <v>1040</v>
      </c>
      <c r="C189" s="5" t="s">
        <v>978</v>
      </c>
      <c r="D189" s="2" t="s">
        <v>1047</v>
      </c>
    </row>
    <row r="190" spans="1:4" ht="12.95" customHeight="1" x14ac:dyDescent="0.25">
      <c r="A190" s="2" t="s">
        <v>49</v>
      </c>
      <c r="B190" s="2" t="s">
        <v>1040</v>
      </c>
      <c r="C190" s="5" t="s">
        <v>980</v>
      </c>
      <c r="D190" s="2" t="s">
        <v>981</v>
      </c>
    </row>
    <row r="191" spans="1:4" ht="12.95" customHeight="1" x14ac:dyDescent="0.25">
      <c r="A191" s="2" t="s">
        <v>49</v>
      </c>
      <c r="B191" s="2" t="s">
        <v>1040</v>
      </c>
      <c r="C191" s="5" t="s">
        <v>982</v>
      </c>
      <c r="D191" s="2" t="s">
        <v>983</v>
      </c>
    </row>
    <row r="192" spans="1:4" ht="12.95" customHeight="1" x14ac:dyDescent="0.25">
      <c r="A192" s="2" t="s">
        <v>49</v>
      </c>
      <c r="B192" s="2" t="s">
        <v>1040</v>
      </c>
      <c r="C192" s="5" t="s">
        <v>984</v>
      </c>
      <c r="D192" s="2" t="s">
        <v>1048</v>
      </c>
    </row>
    <row r="193" spans="1:4" ht="12.95" customHeight="1" x14ac:dyDescent="0.25">
      <c r="A193" s="2" t="s">
        <v>49</v>
      </c>
      <c r="B193" s="2" t="s">
        <v>1040</v>
      </c>
      <c r="C193" s="5" t="s">
        <v>986</v>
      </c>
      <c r="D193" s="2" t="s">
        <v>1049</v>
      </c>
    </row>
    <row r="194" spans="1:4" ht="12.95" customHeight="1" x14ac:dyDescent="0.25">
      <c r="A194" s="2" t="s">
        <v>49</v>
      </c>
      <c r="B194" s="2" t="s">
        <v>1040</v>
      </c>
      <c r="C194" s="5" t="s">
        <v>988</v>
      </c>
      <c r="D194" s="2" t="s">
        <v>1050</v>
      </c>
    </row>
    <row r="195" spans="1:4" ht="12.95" customHeight="1" x14ac:dyDescent="0.25">
      <c r="A195" s="2" t="s">
        <v>49</v>
      </c>
      <c r="B195" s="2" t="s">
        <v>1040</v>
      </c>
      <c r="C195" s="5" t="s">
        <v>990</v>
      </c>
      <c r="D195" s="2" t="s">
        <v>1051</v>
      </c>
    </row>
    <row r="196" spans="1:4" ht="12.95" customHeight="1" x14ac:dyDescent="0.25">
      <c r="A196" s="2" t="s">
        <v>49</v>
      </c>
      <c r="B196" s="2" t="s">
        <v>1040</v>
      </c>
      <c r="C196" s="5" t="s">
        <v>992</v>
      </c>
      <c r="D196" s="2" t="s">
        <v>1052</v>
      </c>
    </row>
    <row r="197" spans="1:4" ht="12.95" customHeight="1" x14ac:dyDescent="0.25">
      <c r="A197" s="2" t="s">
        <v>52</v>
      </c>
      <c r="B197" s="2" t="s">
        <v>977</v>
      </c>
      <c r="C197" s="5" t="s">
        <v>978</v>
      </c>
      <c r="D197" s="2" t="s">
        <v>1047</v>
      </c>
    </row>
    <row r="198" spans="1:4" ht="12.95" customHeight="1" x14ac:dyDescent="0.25">
      <c r="A198" s="2" t="s">
        <v>52</v>
      </c>
      <c r="B198" s="2" t="s">
        <v>977</v>
      </c>
      <c r="C198" s="5" t="s">
        <v>980</v>
      </c>
      <c r="D198" s="2" t="s">
        <v>1041</v>
      </c>
    </row>
    <row r="199" spans="1:4" ht="12.95" customHeight="1" x14ac:dyDescent="0.25">
      <c r="A199" s="2" t="s">
        <v>52</v>
      </c>
      <c r="B199" s="2" t="s">
        <v>977</v>
      </c>
      <c r="C199" s="5" t="s">
        <v>982</v>
      </c>
      <c r="D199" s="2" t="s">
        <v>983</v>
      </c>
    </row>
    <row r="200" spans="1:4" ht="12.95" customHeight="1" x14ac:dyDescent="0.25">
      <c r="A200" s="2" t="s">
        <v>55</v>
      </c>
      <c r="B200" s="2" t="s">
        <v>977</v>
      </c>
      <c r="C200" s="5" t="s">
        <v>996</v>
      </c>
      <c r="D200" s="2" t="s">
        <v>997</v>
      </c>
    </row>
    <row r="201" spans="1:4" ht="12.95" customHeight="1" x14ac:dyDescent="0.25">
      <c r="A201" s="2" t="s">
        <v>55</v>
      </c>
      <c r="B201" s="2" t="s">
        <v>977</v>
      </c>
      <c r="C201" s="5" t="s">
        <v>978</v>
      </c>
      <c r="D201" s="2" t="s">
        <v>979</v>
      </c>
    </row>
    <row r="202" spans="1:4" ht="12.95" customHeight="1" x14ac:dyDescent="0.25">
      <c r="A202" s="2" t="s">
        <v>55</v>
      </c>
      <c r="B202" s="2" t="s">
        <v>977</v>
      </c>
      <c r="C202" s="5" t="s">
        <v>980</v>
      </c>
      <c r="D202" s="2" t="s">
        <v>981</v>
      </c>
    </row>
    <row r="203" spans="1:4" ht="12.95" customHeight="1" x14ac:dyDescent="0.25">
      <c r="A203" s="2" t="s">
        <v>55</v>
      </c>
      <c r="B203" s="2" t="s">
        <v>977</v>
      </c>
      <c r="C203" s="5" t="s">
        <v>982</v>
      </c>
      <c r="D203" s="2" t="s">
        <v>983</v>
      </c>
    </row>
    <row r="204" spans="1:4" ht="12.95" customHeight="1" x14ac:dyDescent="0.25">
      <c r="A204" s="2" t="s">
        <v>55</v>
      </c>
      <c r="B204" s="2" t="s">
        <v>977</v>
      </c>
      <c r="C204" s="5" t="s">
        <v>984</v>
      </c>
      <c r="D204" s="2" t="s">
        <v>1053</v>
      </c>
    </row>
    <row r="205" spans="1:4" ht="12.95" customHeight="1" x14ac:dyDescent="0.25">
      <c r="A205" s="2" t="s">
        <v>55</v>
      </c>
      <c r="B205" s="2" t="s">
        <v>977</v>
      </c>
      <c r="C205" s="5" t="s">
        <v>986</v>
      </c>
      <c r="D205" s="2" t="s">
        <v>1054</v>
      </c>
    </row>
    <row r="206" spans="1:4" ht="12.95" customHeight="1" x14ac:dyDescent="0.25">
      <c r="A206" s="2" t="s">
        <v>55</v>
      </c>
      <c r="B206" s="2" t="s">
        <v>977</v>
      </c>
      <c r="C206" s="5" t="s">
        <v>988</v>
      </c>
      <c r="D206" s="2" t="s">
        <v>1055</v>
      </c>
    </row>
    <row r="207" spans="1:4" ht="12.95" customHeight="1" x14ac:dyDescent="0.25">
      <c r="A207" s="2" t="s">
        <v>55</v>
      </c>
      <c r="B207" s="2" t="s">
        <v>977</v>
      </c>
      <c r="C207" s="5" t="s">
        <v>990</v>
      </c>
      <c r="D207" s="2" t="s">
        <v>1056</v>
      </c>
    </row>
    <row r="208" spans="1:4" ht="12.95" customHeight="1" x14ac:dyDescent="0.25">
      <c r="A208" s="2" t="s">
        <v>55</v>
      </c>
      <c r="B208" s="2" t="s">
        <v>977</v>
      </c>
      <c r="C208" s="5" t="s">
        <v>992</v>
      </c>
      <c r="D208" s="2" t="s">
        <v>1057</v>
      </c>
    </row>
    <row r="209" spans="1:4" ht="12.95" customHeight="1" x14ac:dyDescent="0.25">
      <c r="A209" s="2" t="s">
        <v>55</v>
      </c>
      <c r="B209" s="2" t="s">
        <v>977</v>
      </c>
      <c r="C209" s="5" t="s">
        <v>994</v>
      </c>
      <c r="D209" s="2" t="s">
        <v>1058</v>
      </c>
    </row>
    <row r="210" spans="1:4" ht="12.95" customHeight="1" x14ac:dyDescent="0.25">
      <c r="A210" s="2" t="s">
        <v>55</v>
      </c>
      <c r="B210" s="2" t="s">
        <v>977</v>
      </c>
      <c r="C210" s="5" t="s">
        <v>1003</v>
      </c>
      <c r="D210" s="2" t="s">
        <v>1059</v>
      </c>
    </row>
    <row r="211" spans="1:4" ht="12.95" customHeight="1" x14ac:dyDescent="0.25">
      <c r="A211" s="2" t="s">
        <v>58</v>
      </c>
      <c r="B211" s="2" t="s">
        <v>977</v>
      </c>
      <c r="C211" s="5" t="s">
        <v>996</v>
      </c>
      <c r="D211" s="2" t="s">
        <v>997</v>
      </c>
    </row>
    <row r="212" spans="1:4" ht="12.95" customHeight="1" x14ac:dyDescent="0.25">
      <c r="A212" s="2" t="s">
        <v>58</v>
      </c>
      <c r="B212" s="2" t="s">
        <v>977</v>
      </c>
      <c r="C212" s="5" t="s">
        <v>978</v>
      </c>
      <c r="D212" s="2" t="s">
        <v>979</v>
      </c>
    </row>
    <row r="213" spans="1:4" ht="12.95" customHeight="1" x14ac:dyDescent="0.25">
      <c r="A213" s="2" t="s">
        <v>58</v>
      </c>
      <c r="B213" s="2" t="s">
        <v>977</v>
      </c>
      <c r="C213" s="5" t="s">
        <v>980</v>
      </c>
      <c r="D213" s="2" t="s">
        <v>981</v>
      </c>
    </row>
    <row r="214" spans="1:4" ht="12.95" customHeight="1" x14ac:dyDescent="0.25">
      <c r="A214" s="2" t="s">
        <v>58</v>
      </c>
      <c r="B214" s="2" t="s">
        <v>977</v>
      </c>
      <c r="C214" s="5" t="s">
        <v>982</v>
      </c>
      <c r="D214" s="2" t="s">
        <v>983</v>
      </c>
    </row>
    <row r="215" spans="1:4" ht="12.95" customHeight="1" x14ac:dyDescent="0.25">
      <c r="A215" s="2" t="s">
        <v>58</v>
      </c>
      <c r="B215" s="2" t="s">
        <v>977</v>
      </c>
      <c r="C215" s="5" t="s">
        <v>984</v>
      </c>
      <c r="D215" s="2" t="s">
        <v>1053</v>
      </c>
    </row>
    <row r="216" spans="1:4" ht="12.95" customHeight="1" x14ac:dyDescent="0.25">
      <c r="A216" s="2" t="s">
        <v>58</v>
      </c>
      <c r="B216" s="2" t="s">
        <v>977</v>
      </c>
      <c r="C216" s="5" t="s">
        <v>986</v>
      </c>
      <c r="D216" s="2" t="s">
        <v>1054</v>
      </c>
    </row>
    <row r="217" spans="1:4" ht="12.95" customHeight="1" x14ac:dyDescent="0.25">
      <c r="A217" s="2" t="s">
        <v>58</v>
      </c>
      <c r="B217" s="2" t="s">
        <v>977</v>
      </c>
      <c r="C217" s="5" t="s">
        <v>988</v>
      </c>
      <c r="D217" s="2" t="s">
        <v>1055</v>
      </c>
    </row>
    <row r="218" spans="1:4" ht="12.95" customHeight="1" x14ac:dyDescent="0.25">
      <c r="A218" s="2" t="s">
        <v>58</v>
      </c>
      <c r="B218" s="2" t="s">
        <v>977</v>
      </c>
      <c r="C218" s="5" t="s">
        <v>990</v>
      </c>
      <c r="D218" s="2" t="s">
        <v>1056</v>
      </c>
    </row>
    <row r="219" spans="1:4" ht="12.95" customHeight="1" x14ac:dyDescent="0.25">
      <c r="A219" s="2" t="s">
        <v>58</v>
      </c>
      <c r="B219" s="2" t="s">
        <v>977</v>
      </c>
      <c r="C219" s="5" t="s">
        <v>992</v>
      </c>
      <c r="D219" s="2" t="s">
        <v>1057</v>
      </c>
    </row>
    <row r="220" spans="1:4" ht="12.95" customHeight="1" x14ac:dyDescent="0.25">
      <c r="A220" s="2" t="s">
        <v>58</v>
      </c>
      <c r="B220" s="2" t="s">
        <v>977</v>
      </c>
      <c r="C220" s="5" t="s">
        <v>994</v>
      </c>
      <c r="D220" s="2" t="s">
        <v>1058</v>
      </c>
    </row>
    <row r="221" spans="1:4" ht="12.95" customHeight="1" x14ac:dyDescent="0.25">
      <c r="A221" s="2" t="s">
        <v>58</v>
      </c>
      <c r="B221" s="2" t="s">
        <v>977</v>
      </c>
      <c r="C221" s="5" t="s">
        <v>1003</v>
      </c>
      <c r="D221" s="2" t="s">
        <v>1059</v>
      </c>
    </row>
    <row r="222" spans="1:4" ht="12.95" customHeight="1" x14ac:dyDescent="0.25">
      <c r="A222" s="2" t="s">
        <v>60</v>
      </c>
      <c r="B222" s="2" t="s">
        <v>977</v>
      </c>
      <c r="C222" s="5" t="s">
        <v>996</v>
      </c>
      <c r="D222" s="2" t="s">
        <v>997</v>
      </c>
    </row>
    <row r="223" spans="1:4" ht="12.95" customHeight="1" x14ac:dyDescent="0.25">
      <c r="A223" s="2" t="s">
        <v>60</v>
      </c>
      <c r="B223" s="2" t="s">
        <v>977</v>
      </c>
      <c r="C223" s="5" t="s">
        <v>978</v>
      </c>
      <c r="D223" s="2" t="s">
        <v>979</v>
      </c>
    </row>
    <row r="224" spans="1:4" ht="12.95" customHeight="1" x14ac:dyDescent="0.25">
      <c r="A224" s="2" t="s">
        <v>60</v>
      </c>
      <c r="B224" s="2" t="s">
        <v>977</v>
      </c>
      <c r="C224" s="5" t="s">
        <v>980</v>
      </c>
      <c r="D224" s="2" t="s">
        <v>981</v>
      </c>
    </row>
    <row r="225" spans="1:4" ht="12.95" customHeight="1" x14ac:dyDescent="0.25">
      <c r="A225" s="2" t="s">
        <v>60</v>
      </c>
      <c r="B225" s="2" t="s">
        <v>977</v>
      </c>
      <c r="C225" s="5" t="s">
        <v>982</v>
      </c>
      <c r="D225" s="2" t="s">
        <v>983</v>
      </c>
    </row>
    <row r="226" spans="1:4" ht="12.95" customHeight="1" x14ac:dyDescent="0.25">
      <c r="A226" s="2" t="s">
        <v>60</v>
      </c>
      <c r="B226" s="2" t="s">
        <v>977</v>
      </c>
      <c r="C226" s="5" t="s">
        <v>984</v>
      </c>
      <c r="D226" s="2" t="s">
        <v>1053</v>
      </c>
    </row>
    <row r="227" spans="1:4" ht="12.95" customHeight="1" x14ac:dyDescent="0.25">
      <c r="A227" s="2" t="s">
        <v>60</v>
      </c>
      <c r="B227" s="2" t="s">
        <v>977</v>
      </c>
      <c r="C227" s="5" t="s">
        <v>986</v>
      </c>
      <c r="D227" s="2" t="s">
        <v>1054</v>
      </c>
    </row>
    <row r="228" spans="1:4" ht="12.95" customHeight="1" x14ac:dyDescent="0.25">
      <c r="A228" s="2" t="s">
        <v>60</v>
      </c>
      <c r="B228" s="2" t="s">
        <v>977</v>
      </c>
      <c r="C228" s="5" t="s">
        <v>988</v>
      </c>
      <c r="D228" s="2" t="s">
        <v>1055</v>
      </c>
    </row>
    <row r="229" spans="1:4" ht="12.95" customHeight="1" x14ac:dyDescent="0.25">
      <c r="A229" s="2" t="s">
        <v>60</v>
      </c>
      <c r="B229" s="2" t="s">
        <v>977</v>
      </c>
      <c r="C229" s="5" t="s">
        <v>990</v>
      </c>
      <c r="D229" s="2" t="s">
        <v>1056</v>
      </c>
    </row>
    <row r="230" spans="1:4" ht="12.95" customHeight="1" x14ac:dyDescent="0.25">
      <c r="A230" s="2" t="s">
        <v>60</v>
      </c>
      <c r="B230" s="2" t="s">
        <v>977</v>
      </c>
      <c r="C230" s="5" t="s">
        <v>992</v>
      </c>
      <c r="D230" s="2" t="s">
        <v>1057</v>
      </c>
    </row>
    <row r="231" spans="1:4" ht="12.95" customHeight="1" x14ac:dyDescent="0.25">
      <c r="A231" s="2" t="s">
        <v>60</v>
      </c>
      <c r="B231" s="2" t="s">
        <v>977</v>
      </c>
      <c r="C231" s="5" t="s">
        <v>994</v>
      </c>
      <c r="D231" s="2" t="s">
        <v>1058</v>
      </c>
    </row>
    <row r="232" spans="1:4" ht="12.95" customHeight="1" x14ac:dyDescent="0.25">
      <c r="A232" s="2" t="s">
        <v>60</v>
      </c>
      <c r="B232" s="2" t="s">
        <v>977</v>
      </c>
      <c r="C232" s="5" t="s">
        <v>1003</v>
      </c>
      <c r="D232" s="2" t="s">
        <v>1059</v>
      </c>
    </row>
    <row r="233" spans="1:4" ht="12.95" customHeight="1" x14ac:dyDescent="0.25">
      <c r="A233" s="2" t="s">
        <v>62</v>
      </c>
      <c r="B233" s="2" t="s">
        <v>977</v>
      </c>
      <c r="C233" s="5" t="s">
        <v>996</v>
      </c>
      <c r="D233" s="2" t="s">
        <v>997</v>
      </c>
    </row>
    <row r="234" spans="1:4" ht="12.95" customHeight="1" x14ac:dyDescent="0.25">
      <c r="A234" s="2" t="s">
        <v>62</v>
      </c>
      <c r="B234" s="2" t="s">
        <v>977</v>
      </c>
      <c r="C234" s="5" t="s">
        <v>978</v>
      </c>
      <c r="D234" s="2" t="s">
        <v>979</v>
      </c>
    </row>
    <row r="235" spans="1:4" ht="12.95" customHeight="1" x14ac:dyDescent="0.25">
      <c r="A235" s="2" t="s">
        <v>62</v>
      </c>
      <c r="B235" s="2" t="s">
        <v>977</v>
      </c>
      <c r="C235" s="5" t="s">
        <v>980</v>
      </c>
      <c r="D235" s="2" t="s">
        <v>981</v>
      </c>
    </row>
    <row r="236" spans="1:4" ht="12.95" customHeight="1" x14ac:dyDescent="0.25">
      <c r="A236" s="2" t="s">
        <v>62</v>
      </c>
      <c r="B236" s="2" t="s">
        <v>977</v>
      </c>
      <c r="C236" s="5" t="s">
        <v>982</v>
      </c>
      <c r="D236" s="2" t="s">
        <v>983</v>
      </c>
    </row>
    <row r="237" spans="1:4" ht="12.95" customHeight="1" x14ac:dyDescent="0.25">
      <c r="A237" s="2" t="s">
        <v>62</v>
      </c>
      <c r="B237" s="2" t="s">
        <v>977</v>
      </c>
      <c r="C237" s="5" t="s">
        <v>984</v>
      </c>
      <c r="D237" s="2" t="s">
        <v>1053</v>
      </c>
    </row>
    <row r="238" spans="1:4" ht="12.95" customHeight="1" x14ac:dyDescent="0.25">
      <c r="A238" s="2" t="s">
        <v>62</v>
      </c>
      <c r="B238" s="2" t="s">
        <v>977</v>
      </c>
      <c r="C238" s="5" t="s">
        <v>986</v>
      </c>
      <c r="D238" s="2" t="s">
        <v>1054</v>
      </c>
    </row>
    <row r="239" spans="1:4" ht="12.95" customHeight="1" x14ac:dyDescent="0.25">
      <c r="A239" s="2" t="s">
        <v>62</v>
      </c>
      <c r="B239" s="2" t="s">
        <v>977</v>
      </c>
      <c r="C239" s="5" t="s">
        <v>988</v>
      </c>
      <c r="D239" s="2" t="s">
        <v>1055</v>
      </c>
    </row>
    <row r="240" spans="1:4" ht="12.95" customHeight="1" x14ac:dyDescent="0.25">
      <c r="A240" s="2" t="s">
        <v>62</v>
      </c>
      <c r="B240" s="2" t="s">
        <v>977</v>
      </c>
      <c r="C240" s="5" t="s">
        <v>990</v>
      </c>
      <c r="D240" s="2" t="s">
        <v>1056</v>
      </c>
    </row>
    <row r="241" spans="1:4" ht="12.95" customHeight="1" x14ac:dyDescent="0.25">
      <c r="A241" s="2" t="s">
        <v>62</v>
      </c>
      <c r="B241" s="2" t="s">
        <v>977</v>
      </c>
      <c r="C241" s="5" t="s">
        <v>992</v>
      </c>
      <c r="D241" s="2" t="s">
        <v>1057</v>
      </c>
    </row>
    <row r="242" spans="1:4" ht="12.95" customHeight="1" x14ac:dyDescent="0.25">
      <c r="A242" s="2" t="s">
        <v>62</v>
      </c>
      <c r="B242" s="2" t="s">
        <v>977</v>
      </c>
      <c r="C242" s="5" t="s">
        <v>994</v>
      </c>
      <c r="D242" s="2" t="s">
        <v>1058</v>
      </c>
    </row>
    <row r="243" spans="1:4" ht="12.95" customHeight="1" x14ac:dyDescent="0.25">
      <c r="A243" s="2" t="s">
        <v>62</v>
      </c>
      <c r="B243" s="2" t="s">
        <v>977</v>
      </c>
      <c r="C243" s="5" t="s">
        <v>1003</v>
      </c>
      <c r="D243" s="2" t="s">
        <v>1059</v>
      </c>
    </row>
    <row r="244" spans="1:4" ht="12.95" customHeight="1" x14ac:dyDescent="0.25">
      <c r="A244" s="2" t="s">
        <v>64</v>
      </c>
      <c r="B244" s="2" t="s">
        <v>977</v>
      </c>
      <c r="C244" s="5" t="s">
        <v>996</v>
      </c>
      <c r="D244" s="2" t="s">
        <v>997</v>
      </c>
    </row>
    <row r="245" spans="1:4" ht="12.95" customHeight="1" x14ac:dyDescent="0.25">
      <c r="A245" s="2" t="s">
        <v>64</v>
      </c>
      <c r="B245" s="2" t="s">
        <v>977</v>
      </c>
      <c r="C245" s="5" t="s">
        <v>978</v>
      </c>
      <c r="D245" s="2" t="s">
        <v>979</v>
      </c>
    </row>
    <row r="246" spans="1:4" ht="12.95" customHeight="1" x14ac:dyDescent="0.25">
      <c r="A246" s="2" t="s">
        <v>64</v>
      </c>
      <c r="B246" s="2" t="s">
        <v>977</v>
      </c>
      <c r="C246" s="5" t="s">
        <v>980</v>
      </c>
      <c r="D246" s="2" t="s">
        <v>981</v>
      </c>
    </row>
    <row r="247" spans="1:4" ht="12.95" customHeight="1" x14ac:dyDescent="0.25">
      <c r="A247" s="2" t="s">
        <v>64</v>
      </c>
      <c r="B247" s="2" t="s">
        <v>977</v>
      </c>
      <c r="C247" s="5" t="s">
        <v>982</v>
      </c>
      <c r="D247" s="2" t="s">
        <v>983</v>
      </c>
    </row>
    <row r="248" spans="1:4" ht="12.95" customHeight="1" x14ac:dyDescent="0.25">
      <c r="A248" s="2" t="s">
        <v>64</v>
      </c>
      <c r="B248" s="2" t="s">
        <v>977</v>
      </c>
      <c r="C248" s="5" t="s">
        <v>984</v>
      </c>
      <c r="D248" s="2" t="s">
        <v>1053</v>
      </c>
    </row>
    <row r="249" spans="1:4" ht="12.95" customHeight="1" x14ac:dyDescent="0.25">
      <c r="A249" s="2" t="s">
        <v>64</v>
      </c>
      <c r="B249" s="2" t="s">
        <v>977</v>
      </c>
      <c r="C249" s="5" t="s">
        <v>986</v>
      </c>
      <c r="D249" s="2" t="s">
        <v>1054</v>
      </c>
    </row>
    <row r="250" spans="1:4" ht="12.95" customHeight="1" x14ac:dyDescent="0.25">
      <c r="A250" s="2" t="s">
        <v>64</v>
      </c>
      <c r="B250" s="2" t="s">
        <v>977</v>
      </c>
      <c r="C250" s="5" t="s">
        <v>988</v>
      </c>
      <c r="D250" s="2" t="s">
        <v>1055</v>
      </c>
    </row>
    <row r="251" spans="1:4" ht="12.95" customHeight="1" x14ac:dyDescent="0.25">
      <c r="A251" s="2" t="s">
        <v>64</v>
      </c>
      <c r="B251" s="2" t="s">
        <v>977</v>
      </c>
      <c r="C251" s="5" t="s">
        <v>990</v>
      </c>
      <c r="D251" s="2" t="s">
        <v>1056</v>
      </c>
    </row>
    <row r="252" spans="1:4" ht="12.95" customHeight="1" x14ac:dyDescent="0.25">
      <c r="A252" s="2" t="s">
        <v>64</v>
      </c>
      <c r="B252" s="2" t="s">
        <v>977</v>
      </c>
      <c r="C252" s="5" t="s">
        <v>992</v>
      </c>
      <c r="D252" s="2" t="s">
        <v>1057</v>
      </c>
    </row>
    <row r="253" spans="1:4" ht="12.95" customHeight="1" x14ac:dyDescent="0.25">
      <c r="A253" s="2" t="s">
        <v>64</v>
      </c>
      <c r="B253" s="2" t="s">
        <v>977</v>
      </c>
      <c r="C253" s="5" t="s">
        <v>994</v>
      </c>
      <c r="D253" s="2" t="s">
        <v>1058</v>
      </c>
    </row>
    <row r="254" spans="1:4" ht="12.95" customHeight="1" x14ac:dyDescent="0.25">
      <c r="A254" s="2" t="s">
        <v>64</v>
      </c>
      <c r="B254" s="2" t="s">
        <v>977</v>
      </c>
      <c r="C254" s="5" t="s">
        <v>1003</v>
      </c>
      <c r="D254" s="2" t="s">
        <v>1059</v>
      </c>
    </row>
    <row r="255" spans="1:4" ht="12.95" customHeight="1" x14ac:dyDescent="0.25">
      <c r="A255" s="2" t="s">
        <v>66</v>
      </c>
      <c r="B255" s="2" t="s">
        <v>977</v>
      </c>
      <c r="C255" s="5" t="s">
        <v>996</v>
      </c>
      <c r="D255" s="2" t="s">
        <v>997</v>
      </c>
    </row>
    <row r="256" spans="1:4" ht="12.95" customHeight="1" x14ac:dyDescent="0.25">
      <c r="A256" s="2" t="s">
        <v>66</v>
      </c>
      <c r="B256" s="2" t="s">
        <v>977</v>
      </c>
      <c r="C256" s="5" t="s">
        <v>978</v>
      </c>
      <c r="D256" s="2" t="s">
        <v>979</v>
      </c>
    </row>
    <row r="257" spans="1:4" ht="12.95" customHeight="1" x14ac:dyDescent="0.25">
      <c r="A257" s="2" t="s">
        <v>66</v>
      </c>
      <c r="B257" s="2" t="s">
        <v>977</v>
      </c>
      <c r="C257" s="5" t="s">
        <v>980</v>
      </c>
      <c r="D257" s="2" t="s">
        <v>981</v>
      </c>
    </row>
    <row r="258" spans="1:4" ht="12.95" customHeight="1" x14ac:dyDescent="0.25">
      <c r="A258" s="2" t="s">
        <v>66</v>
      </c>
      <c r="B258" s="2" t="s">
        <v>977</v>
      </c>
      <c r="C258" s="5" t="s">
        <v>982</v>
      </c>
      <c r="D258" s="2" t="s">
        <v>983</v>
      </c>
    </row>
    <row r="259" spans="1:4" ht="12.95" customHeight="1" x14ac:dyDescent="0.25">
      <c r="A259" s="2" t="s">
        <v>66</v>
      </c>
      <c r="B259" s="2" t="s">
        <v>977</v>
      </c>
      <c r="C259" s="5" t="s">
        <v>984</v>
      </c>
      <c r="D259" s="2" t="s">
        <v>1053</v>
      </c>
    </row>
    <row r="260" spans="1:4" ht="12.95" customHeight="1" x14ac:dyDescent="0.25">
      <c r="A260" s="2" t="s">
        <v>66</v>
      </c>
      <c r="B260" s="2" t="s">
        <v>977</v>
      </c>
      <c r="C260" s="5" t="s">
        <v>986</v>
      </c>
      <c r="D260" s="2" t="s">
        <v>1054</v>
      </c>
    </row>
    <row r="261" spans="1:4" ht="12.95" customHeight="1" x14ac:dyDescent="0.25">
      <c r="A261" s="2" t="s">
        <v>66</v>
      </c>
      <c r="B261" s="2" t="s">
        <v>977</v>
      </c>
      <c r="C261" s="5" t="s">
        <v>988</v>
      </c>
      <c r="D261" s="2" t="s">
        <v>1055</v>
      </c>
    </row>
    <row r="262" spans="1:4" ht="12.95" customHeight="1" x14ac:dyDescent="0.25">
      <c r="A262" s="2" t="s">
        <v>66</v>
      </c>
      <c r="B262" s="2" t="s">
        <v>977</v>
      </c>
      <c r="C262" s="5" t="s">
        <v>990</v>
      </c>
      <c r="D262" s="2" t="s">
        <v>1056</v>
      </c>
    </row>
    <row r="263" spans="1:4" ht="12.95" customHeight="1" x14ac:dyDescent="0.25">
      <c r="A263" s="2" t="s">
        <v>66</v>
      </c>
      <c r="B263" s="2" t="s">
        <v>977</v>
      </c>
      <c r="C263" s="5" t="s">
        <v>992</v>
      </c>
      <c r="D263" s="2" t="s">
        <v>1057</v>
      </c>
    </row>
    <row r="264" spans="1:4" ht="12.95" customHeight="1" x14ac:dyDescent="0.25">
      <c r="A264" s="2" t="s">
        <v>66</v>
      </c>
      <c r="B264" s="2" t="s">
        <v>977</v>
      </c>
      <c r="C264" s="5" t="s">
        <v>994</v>
      </c>
      <c r="D264" s="2" t="s">
        <v>1058</v>
      </c>
    </row>
    <row r="265" spans="1:4" ht="12.95" customHeight="1" x14ac:dyDescent="0.25">
      <c r="A265" s="2" t="s">
        <v>66</v>
      </c>
      <c r="B265" s="2" t="s">
        <v>977</v>
      </c>
      <c r="C265" s="5" t="s">
        <v>1003</v>
      </c>
      <c r="D265" s="2" t="s">
        <v>1059</v>
      </c>
    </row>
    <row r="266" spans="1:4" ht="12.95" customHeight="1" x14ac:dyDescent="0.25">
      <c r="A266" s="2" t="s">
        <v>68</v>
      </c>
      <c r="B266" s="2" t="s">
        <v>977</v>
      </c>
      <c r="C266" s="5" t="s">
        <v>996</v>
      </c>
      <c r="D266" s="2" t="s">
        <v>997</v>
      </c>
    </row>
    <row r="267" spans="1:4" ht="12.95" customHeight="1" x14ac:dyDescent="0.25">
      <c r="A267" s="2" t="s">
        <v>68</v>
      </c>
      <c r="B267" s="2" t="s">
        <v>977</v>
      </c>
      <c r="C267" s="5" t="s">
        <v>978</v>
      </c>
      <c r="D267" s="2" t="s">
        <v>979</v>
      </c>
    </row>
    <row r="268" spans="1:4" ht="12.95" customHeight="1" x14ac:dyDescent="0.25">
      <c r="A268" s="2" t="s">
        <v>68</v>
      </c>
      <c r="B268" s="2" t="s">
        <v>977</v>
      </c>
      <c r="C268" s="5" t="s">
        <v>980</v>
      </c>
      <c r="D268" s="2" t="s">
        <v>981</v>
      </c>
    </row>
    <row r="269" spans="1:4" ht="12.95" customHeight="1" x14ac:dyDescent="0.25">
      <c r="A269" s="2" t="s">
        <v>68</v>
      </c>
      <c r="B269" s="2" t="s">
        <v>977</v>
      </c>
      <c r="C269" s="5" t="s">
        <v>982</v>
      </c>
      <c r="D269" s="2" t="s">
        <v>983</v>
      </c>
    </row>
    <row r="270" spans="1:4" ht="12.95" customHeight="1" x14ac:dyDescent="0.25">
      <c r="A270" s="2" t="s">
        <v>68</v>
      </c>
      <c r="B270" s="2" t="s">
        <v>977</v>
      </c>
      <c r="C270" s="5" t="s">
        <v>984</v>
      </c>
      <c r="D270" s="2" t="s">
        <v>1053</v>
      </c>
    </row>
    <row r="271" spans="1:4" ht="12.95" customHeight="1" x14ac:dyDescent="0.25">
      <c r="A271" s="2" t="s">
        <v>68</v>
      </c>
      <c r="B271" s="2" t="s">
        <v>977</v>
      </c>
      <c r="C271" s="5" t="s">
        <v>986</v>
      </c>
      <c r="D271" s="2" t="s">
        <v>1054</v>
      </c>
    </row>
    <row r="272" spans="1:4" ht="12.95" customHeight="1" x14ac:dyDescent="0.25">
      <c r="A272" s="2" t="s">
        <v>68</v>
      </c>
      <c r="B272" s="2" t="s">
        <v>977</v>
      </c>
      <c r="C272" s="5" t="s">
        <v>988</v>
      </c>
      <c r="D272" s="2" t="s">
        <v>1055</v>
      </c>
    </row>
    <row r="273" spans="1:4" ht="12.95" customHeight="1" x14ac:dyDescent="0.25">
      <c r="A273" s="2" t="s">
        <v>68</v>
      </c>
      <c r="B273" s="2" t="s">
        <v>977</v>
      </c>
      <c r="C273" s="5" t="s">
        <v>990</v>
      </c>
      <c r="D273" s="2" t="s">
        <v>1056</v>
      </c>
    </row>
    <row r="274" spans="1:4" ht="12.95" customHeight="1" x14ac:dyDescent="0.25">
      <c r="A274" s="2" t="s">
        <v>68</v>
      </c>
      <c r="B274" s="2" t="s">
        <v>977</v>
      </c>
      <c r="C274" s="5" t="s">
        <v>992</v>
      </c>
      <c r="D274" s="2" t="s">
        <v>1057</v>
      </c>
    </row>
    <row r="275" spans="1:4" ht="12.95" customHeight="1" x14ac:dyDescent="0.25">
      <c r="A275" s="2" t="s">
        <v>68</v>
      </c>
      <c r="B275" s="2" t="s">
        <v>977</v>
      </c>
      <c r="C275" s="5" t="s">
        <v>994</v>
      </c>
      <c r="D275" s="2" t="s">
        <v>1058</v>
      </c>
    </row>
    <row r="276" spans="1:4" ht="12.95" customHeight="1" x14ac:dyDescent="0.25">
      <c r="A276" s="2" t="s">
        <v>68</v>
      </c>
      <c r="B276" s="2" t="s">
        <v>977</v>
      </c>
      <c r="C276" s="5" t="s">
        <v>1003</v>
      </c>
      <c r="D276" s="2" t="s">
        <v>1059</v>
      </c>
    </row>
    <row r="277" spans="1:4" ht="12.95" customHeight="1" x14ac:dyDescent="0.25">
      <c r="A277" s="2" t="s">
        <v>70</v>
      </c>
      <c r="B277" s="2" t="s">
        <v>977</v>
      </c>
      <c r="C277" s="5" t="s">
        <v>996</v>
      </c>
      <c r="D277" s="2" t="s">
        <v>997</v>
      </c>
    </row>
    <row r="278" spans="1:4" ht="12.95" customHeight="1" x14ac:dyDescent="0.25">
      <c r="A278" s="2" t="s">
        <v>70</v>
      </c>
      <c r="B278" s="2" t="s">
        <v>977</v>
      </c>
      <c r="C278" s="5" t="s">
        <v>978</v>
      </c>
      <c r="D278" s="2" t="s">
        <v>979</v>
      </c>
    </row>
    <row r="279" spans="1:4" ht="12.95" customHeight="1" x14ac:dyDescent="0.25">
      <c r="A279" s="2" t="s">
        <v>70</v>
      </c>
      <c r="B279" s="2" t="s">
        <v>977</v>
      </c>
      <c r="C279" s="5" t="s">
        <v>980</v>
      </c>
      <c r="D279" s="2" t="s">
        <v>981</v>
      </c>
    </row>
    <row r="280" spans="1:4" ht="12.95" customHeight="1" x14ac:dyDescent="0.25">
      <c r="A280" s="2" t="s">
        <v>70</v>
      </c>
      <c r="B280" s="2" t="s">
        <v>977</v>
      </c>
      <c r="C280" s="5" t="s">
        <v>982</v>
      </c>
      <c r="D280" s="2" t="s">
        <v>983</v>
      </c>
    </row>
    <row r="281" spans="1:4" ht="12.95" customHeight="1" x14ac:dyDescent="0.25">
      <c r="A281" s="2" t="s">
        <v>70</v>
      </c>
      <c r="B281" s="2" t="s">
        <v>977</v>
      </c>
      <c r="C281" s="5" t="s">
        <v>984</v>
      </c>
      <c r="D281" s="2" t="s">
        <v>1053</v>
      </c>
    </row>
    <row r="282" spans="1:4" ht="12.95" customHeight="1" x14ac:dyDescent="0.25">
      <c r="A282" s="2" t="s">
        <v>70</v>
      </c>
      <c r="B282" s="2" t="s">
        <v>977</v>
      </c>
      <c r="C282" s="5" t="s">
        <v>986</v>
      </c>
      <c r="D282" s="2" t="s">
        <v>1054</v>
      </c>
    </row>
    <row r="283" spans="1:4" ht="12.95" customHeight="1" x14ac:dyDescent="0.25">
      <c r="A283" s="2" t="s">
        <v>70</v>
      </c>
      <c r="B283" s="2" t="s">
        <v>977</v>
      </c>
      <c r="C283" s="5" t="s">
        <v>988</v>
      </c>
      <c r="D283" s="2" t="s">
        <v>1055</v>
      </c>
    </row>
    <row r="284" spans="1:4" ht="12.95" customHeight="1" x14ac:dyDescent="0.25">
      <c r="A284" s="2" t="s">
        <v>70</v>
      </c>
      <c r="B284" s="2" t="s">
        <v>977</v>
      </c>
      <c r="C284" s="5" t="s">
        <v>990</v>
      </c>
      <c r="D284" s="2" t="s">
        <v>1056</v>
      </c>
    </row>
    <row r="285" spans="1:4" ht="12.95" customHeight="1" x14ac:dyDescent="0.25">
      <c r="A285" s="2" t="s">
        <v>70</v>
      </c>
      <c r="B285" s="2" t="s">
        <v>977</v>
      </c>
      <c r="C285" s="5" t="s">
        <v>992</v>
      </c>
      <c r="D285" s="2" t="s">
        <v>1057</v>
      </c>
    </row>
    <row r="286" spans="1:4" ht="12.95" customHeight="1" x14ac:dyDescent="0.25">
      <c r="A286" s="2" t="s">
        <v>70</v>
      </c>
      <c r="B286" s="2" t="s">
        <v>977</v>
      </c>
      <c r="C286" s="5" t="s">
        <v>994</v>
      </c>
      <c r="D286" s="2" t="s">
        <v>1058</v>
      </c>
    </row>
    <row r="287" spans="1:4" ht="12.95" customHeight="1" x14ac:dyDescent="0.25">
      <c r="A287" s="2" t="s">
        <v>70</v>
      </c>
      <c r="B287" s="2" t="s">
        <v>977</v>
      </c>
      <c r="C287" s="5" t="s">
        <v>1003</v>
      </c>
      <c r="D287" s="2" t="s">
        <v>1059</v>
      </c>
    </row>
    <row r="288" spans="1:4" ht="12.95" customHeight="1" x14ac:dyDescent="0.25">
      <c r="A288" s="2" t="s">
        <v>72</v>
      </c>
      <c r="B288" s="2" t="s">
        <v>977</v>
      </c>
      <c r="C288" s="5" t="s">
        <v>978</v>
      </c>
      <c r="D288" s="2" t="s">
        <v>1047</v>
      </c>
    </row>
    <row r="289" spans="1:4" ht="12.95" customHeight="1" x14ac:dyDescent="0.25">
      <c r="A289" s="2" t="s">
        <v>72</v>
      </c>
      <c r="B289" s="2" t="s">
        <v>977</v>
      </c>
      <c r="C289" s="5" t="s">
        <v>980</v>
      </c>
      <c r="D289" s="2" t="s">
        <v>1041</v>
      </c>
    </row>
    <row r="290" spans="1:4" ht="12.95" customHeight="1" x14ac:dyDescent="0.25">
      <c r="A290" s="2" t="s">
        <v>72</v>
      </c>
      <c r="B290" s="2" t="s">
        <v>977</v>
      </c>
      <c r="C290" s="5" t="s">
        <v>982</v>
      </c>
      <c r="D290" s="2" t="s">
        <v>983</v>
      </c>
    </row>
    <row r="291" spans="1:4" ht="12.95" customHeight="1" x14ac:dyDescent="0.25">
      <c r="A291" s="2" t="s">
        <v>75</v>
      </c>
      <c r="B291" s="2" t="s">
        <v>977</v>
      </c>
      <c r="C291" s="5" t="s">
        <v>996</v>
      </c>
      <c r="D291" s="2" t="s">
        <v>997</v>
      </c>
    </row>
    <row r="292" spans="1:4" ht="12.95" customHeight="1" x14ac:dyDescent="0.25">
      <c r="A292" s="2" t="s">
        <v>75</v>
      </c>
      <c r="B292" s="2" t="s">
        <v>977</v>
      </c>
      <c r="C292" s="5" t="s">
        <v>978</v>
      </c>
      <c r="D292" s="2" t="s">
        <v>979</v>
      </c>
    </row>
    <row r="293" spans="1:4" ht="12.95" customHeight="1" x14ac:dyDescent="0.25">
      <c r="A293" s="2" t="s">
        <v>75</v>
      </c>
      <c r="B293" s="2" t="s">
        <v>977</v>
      </c>
      <c r="C293" s="5" t="s">
        <v>980</v>
      </c>
      <c r="D293" s="2" t="s">
        <v>981</v>
      </c>
    </row>
    <row r="294" spans="1:4" ht="12.95" customHeight="1" x14ac:dyDescent="0.25">
      <c r="A294" s="2" t="s">
        <v>75</v>
      </c>
      <c r="B294" s="2" t="s">
        <v>977</v>
      </c>
      <c r="C294" s="5" t="s">
        <v>982</v>
      </c>
      <c r="D294" s="2" t="s">
        <v>983</v>
      </c>
    </row>
    <row r="295" spans="1:4" ht="12.95" customHeight="1" x14ac:dyDescent="0.25">
      <c r="A295" s="2" t="s">
        <v>75</v>
      </c>
      <c r="B295" s="2" t="s">
        <v>977</v>
      </c>
      <c r="C295" s="5" t="s">
        <v>984</v>
      </c>
      <c r="D295" s="2" t="s">
        <v>1053</v>
      </c>
    </row>
    <row r="296" spans="1:4" ht="12.95" customHeight="1" x14ac:dyDescent="0.25">
      <c r="A296" s="2" t="s">
        <v>75</v>
      </c>
      <c r="B296" s="2" t="s">
        <v>977</v>
      </c>
      <c r="C296" s="5" t="s">
        <v>986</v>
      </c>
      <c r="D296" s="2" t="s">
        <v>1054</v>
      </c>
    </row>
    <row r="297" spans="1:4" ht="12.95" customHeight="1" x14ac:dyDescent="0.25">
      <c r="A297" s="2" t="s">
        <v>75</v>
      </c>
      <c r="B297" s="2" t="s">
        <v>977</v>
      </c>
      <c r="C297" s="5" t="s">
        <v>988</v>
      </c>
      <c r="D297" s="2" t="s">
        <v>1055</v>
      </c>
    </row>
    <row r="298" spans="1:4" ht="12.95" customHeight="1" x14ac:dyDescent="0.25">
      <c r="A298" s="2" t="s">
        <v>75</v>
      </c>
      <c r="B298" s="2" t="s">
        <v>977</v>
      </c>
      <c r="C298" s="5" t="s">
        <v>990</v>
      </c>
      <c r="D298" s="2" t="s">
        <v>1056</v>
      </c>
    </row>
    <row r="299" spans="1:4" ht="12.95" customHeight="1" x14ac:dyDescent="0.25">
      <c r="A299" s="2" t="s">
        <v>75</v>
      </c>
      <c r="B299" s="2" t="s">
        <v>977</v>
      </c>
      <c r="C299" s="5" t="s">
        <v>992</v>
      </c>
      <c r="D299" s="2" t="s">
        <v>1057</v>
      </c>
    </row>
    <row r="300" spans="1:4" ht="12.95" customHeight="1" x14ac:dyDescent="0.25">
      <c r="A300" s="2" t="s">
        <v>75</v>
      </c>
      <c r="B300" s="2" t="s">
        <v>977</v>
      </c>
      <c r="C300" s="5" t="s">
        <v>994</v>
      </c>
      <c r="D300" s="2" t="s">
        <v>1058</v>
      </c>
    </row>
    <row r="301" spans="1:4" ht="12.95" customHeight="1" x14ac:dyDescent="0.25">
      <c r="A301" s="2" t="s">
        <v>75</v>
      </c>
      <c r="B301" s="2" t="s">
        <v>977</v>
      </c>
      <c r="C301" s="5" t="s">
        <v>1003</v>
      </c>
      <c r="D301" s="2" t="s">
        <v>1059</v>
      </c>
    </row>
    <row r="302" spans="1:4" ht="12.95" customHeight="1" x14ac:dyDescent="0.25">
      <c r="A302" s="2" t="s">
        <v>77</v>
      </c>
      <c r="B302" s="2" t="s">
        <v>1060</v>
      </c>
      <c r="C302" s="5" t="s">
        <v>996</v>
      </c>
      <c r="D302" s="2" t="s">
        <v>997</v>
      </c>
    </row>
    <row r="303" spans="1:4" ht="12.95" customHeight="1" x14ac:dyDescent="0.25">
      <c r="A303" s="2" t="s">
        <v>77</v>
      </c>
      <c r="B303" s="2" t="s">
        <v>1060</v>
      </c>
      <c r="C303" s="5" t="s">
        <v>982</v>
      </c>
      <c r="D303" s="2" t="s">
        <v>983</v>
      </c>
    </row>
    <row r="304" spans="1:4" ht="12.95" customHeight="1" x14ac:dyDescent="0.25">
      <c r="A304" s="2" t="s">
        <v>79</v>
      </c>
      <c r="B304" s="2" t="s">
        <v>977</v>
      </c>
      <c r="C304" s="5" t="s">
        <v>996</v>
      </c>
      <c r="D304" s="2" t="s">
        <v>997</v>
      </c>
    </row>
    <row r="305" spans="1:4" ht="12.95" customHeight="1" x14ac:dyDescent="0.25">
      <c r="A305" s="2" t="s">
        <v>79</v>
      </c>
      <c r="B305" s="2" t="s">
        <v>977</v>
      </c>
      <c r="C305" s="5" t="s">
        <v>978</v>
      </c>
      <c r="D305" s="2" t="s">
        <v>1047</v>
      </c>
    </row>
    <row r="306" spans="1:4" ht="12.95" customHeight="1" x14ac:dyDescent="0.25">
      <c r="A306" s="2" t="s">
        <v>79</v>
      </c>
      <c r="B306" s="2" t="s">
        <v>977</v>
      </c>
      <c r="C306" s="5" t="s">
        <v>980</v>
      </c>
      <c r="D306" s="2" t="s">
        <v>1041</v>
      </c>
    </row>
    <row r="307" spans="1:4" ht="12.95" customHeight="1" x14ac:dyDescent="0.25">
      <c r="A307" s="2" t="s">
        <v>79</v>
      </c>
      <c r="B307" s="2" t="s">
        <v>977</v>
      </c>
      <c r="C307" s="5" t="s">
        <v>984</v>
      </c>
      <c r="D307" s="2" t="s">
        <v>1061</v>
      </c>
    </row>
    <row r="308" spans="1:4" ht="12.95" customHeight="1" x14ac:dyDescent="0.25">
      <c r="A308" s="2" t="s">
        <v>79</v>
      </c>
      <c r="B308" s="2" t="s">
        <v>977</v>
      </c>
      <c r="C308" s="5" t="s">
        <v>986</v>
      </c>
      <c r="D308" s="2" t="s">
        <v>1062</v>
      </c>
    </row>
    <row r="309" spans="1:4" ht="12.95" customHeight="1" x14ac:dyDescent="0.25">
      <c r="A309" s="2" t="s">
        <v>82</v>
      </c>
      <c r="B309" s="2" t="s">
        <v>1040</v>
      </c>
      <c r="C309" s="5" t="s">
        <v>978</v>
      </c>
      <c r="D309" s="2" t="s">
        <v>1047</v>
      </c>
    </row>
    <row r="310" spans="1:4" ht="12.95" customHeight="1" x14ac:dyDescent="0.25">
      <c r="A310" s="2" t="s">
        <v>82</v>
      </c>
      <c r="B310" s="2" t="s">
        <v>1040</v>
      </c>
      <c r="C310" s="5" t="s">
        <v>980</v>
      </c>
      <c r="D310" s="2" t="s">
        <v>981</v>
      </c>
    </row>
    <row r="311" spans="1:4" ht="12.95" customHeight="1" x14ac:dyDescent="0.25">
      <c r="A311" s="2" t="s">
        <v>82</v>
      </c>
      <c r="B311" s="2" t="s">
        <v>1040</v>
      </c>
      <c r="C311" s="5" t="s">
        <v>982</v>
      </c>
      <c r="D311" s="2" t="s">
        <v>983</v>
      </c>
    </row>
    <row r="312" spans="1:4" ht="12.95" customHeight="1" x14ac:dyDescent="0.25">
      <c r="A312" s="2" t="s">
        <v>82</v>
      </c>
      <c r="B312" s="2" t="s">
        <v>1040</v>
      </c>
      <c r="C312" s="5" t="s">
        <v>984</v>
      </c>
      <c r="D312" s="2" t="s">
        <v>1063</v>
      </c>
    </row>
    <row r="313" spans="1:4" ht="12.95" customHeight="1" x14ac:dyDescent="0.25">
      <c r="A313" s="2" t="s">
        <v>82</v>
      </c>
      <c r="B313" s="2" t="s">
        <v>1040</v>
      </c>
      <c r="C313" s="5" t="s">
        <v>986</v>
      </c>
      <c r="D313" s="2" t="s">
        <v>1043</v>
      </c>
    </row>
    <row r="314" spans="1:4" ht="12.95" customHeight="1" x14ac:dyDescent="0.25">
      <c r="A314" s="2" t="s">
        <v>82</v>
      </c>
      <c r="B314" s="2" t="s">
        <v>1040</v>
      </c>
      <c r="C314" s="5" t="s">
        <v>988</v>
      </c>
      <c r="D314" s="2" t="s">
        <v>1044</v>
      </c>
    </row>
    <row r="315" spans="1:4" ht="12.95" customHeight="1" x14ac:dyDescent="0.25">
      <c r="A315" s="2" t="s">
        <v>82</v>
      </c>
      <c r="B315" s="2" t="s">
        <v>1040</v>
      </c>
      <c r="C315" s="5" t="s">
        <v>990</v>
      </c>
      <c r="D315" s="2" t="s">
        <v>1045</v>
      </c>
    </row>
    <row r="316" spans="1:4" ht="12.95" customHeight="1" x14ac:dyDescent="0.25">
      <c r="A316" s="2" t="s">
        <v>82</v>
      </c>
      <c r="B316" s="2" t="s">
        <v>1040</v>
      </c>
      <c r="C316" s="5" t="s">
        <v>992</v>
      </c>
      <c r="D316" s="2" t="s">
        <v>1046</v>
      </c>
    </row>
    <row r="317" spans="1:4" ht="12.95" customHeight="1" x14ac:dyDescent="0.25">
      <c r="A317" s="2" t="s">
        <v>85</v>
      </c>
      <c r="B317" s="2" t="s">
        <v>1040</v>
      </c>
      <c r="C317" s="5" t="s">
        <v>978</v>
      </c>
      <c r="D317" s="2" t="s">
        <v>1047</v>
      </c>
    </row>
    <row r="318" spans="1:4" ht="12.95" customHeight="1" x14ac:dyDescent="0.25">
      <c r="A318" s="2" t="s">
        <v>85</v>
      </c>
      <c r="B318" s="2" t="s">
        <v>1040</v>
      </c>
      <c r="C318" s="5" t="s">
        <v>980</v>
      </c>
      <c r="D318" s="2" t="s">
        <v>981</v>
      </c>
    </row>
    <row r="319" spans="1:4" ht="12.95" customHeight="1" x14ac:dyDescent="0.25">
      <c r="A319" s="2" t="s">
        <v>85</v>
      </c>
      <c r="B319" s="2" t="s">
        <v>1040</v>
      </c>
      <c r="C319" s="5" t="s">
        <v>982</v>
      </c>
      <c r="D319" s="2" t="s">
        <v>983</v>
      </c>
    </row>
    <row r="320" spans="1:4" ht="12.95" customHeight="1" x14ac:dyDescent="0.25">
      <c r="A320" s="2" t="s">
        <v>85</v>
      </c>
      <c r="B320" s="2" t="s">
        <v>1040</v>
      </c>
      <c r="C320" s="5" t="s">
        <v>984</v>
      </c>
      <c r="D320" s="2" t="s">
        <v>1042</v>
      </c>
    </row>
    <row r="321" spans="1:4" ht="12.95" customHeight="1" x14ac:dyDescent="0.25">
      <c r="A321" s="2" t="s">
        <v>85</v>
      </c>
      <c r="B321" s="2" t="s">
        <v>1040</v>
      </c>
      <c r="C321" s="5" t="s">
        <v>986</v>
      </c>
      <c r="D321" s="2" t="s">
        <v>1064</v>
      </c>
    </row>
    <row r="322" spans="1:4" ht="12.95" customHeight="1" x14ac:dyDescent="0.25">
      <c r="A322" s="2" t="s">
        <v>85</v>
      </c>
      <c r="B322" s="2" t="s">
        <v>1040</v>
      </c>
      <c r="C322" s="5" t="s">
        <v>988</v>
      </c>
      <c r="D322" s="2" t="s">
        <v>1044</v>
      </c>
    </row>
    <row r="323" spans="1:4" ht="12.95" customHeight="1" x14ac:dyDescent="0.25">
      <c r="A323" s="2" t="s">
        <v>85</v>
      </c>
      <c r="B323" s="2" t="s">
        <v>1040</v>
      </c>
      <c r="C323" s="5" t="s">
        <v>990</v>
      </c>
      <c r="D323" s="2" t="s">
        <v>1045</v>
      </c>
    </row>
    <row r="324" spans="1:4" ht="12.95" customHeight="1" x14ac:dyDescent="0.25">
      <c r="A324" s="2" t="s">
        <v>85</v>
      </c>
      <c r="B324" s="2" t="s">
        <v>1040</v>
      </c>
      <c r="C324" s="5" t="s">
        <v>992</v>
      </c>
      <c r="D324" s="2" t="s">
        <v>1046</v>
      </c>
    </row>
    <row r="325" spans="1:4" ht="12.95" customHeight="1" x14ac:dyDescent="0.25">
      <c r="A325" s="2" t="s">
        <v>88</v>
      </c>
      <c r="B325" s="2" t="s">
        <v>977</v>
      </c>
      <c r="C325" s="5" t="s">
        <v>996</v>
      </c>
      <c r="D325" s="2" t="s">
        <v>997</v>
      </c>
    </row>
    <row r="326" spans="1:4" ht="12.95" customHeight="1" x14ac:dyDescent="0.25">
      <c r="A326" s="2" t="s">
        <v>88</v>
      </c>
      <c r="B326" s="2" t="s">
        <v>977</v>
      </c>
      <c r="C326" s="5" t="s">
        <v>978</v>
      </c>
      <c r="D326" s="2" t="s">
        <v>1047</v>
      </c>
    </row>
    <row r="327" spans="1:4" ht="12.95" customHeight="1" x14ac:dyDescent="0.25">
      <c r="A327" s="2" t="s">
        <v>88</v>
      </c>
      <c r="B327" s="2" t="s">
        <v>977</v>
      </c>
      <c r="C327" s="5" t="s">
        <v>980</v>
      </c>
      <c r="D327" s="2" t="s">
        <v>1041</v>
      </c>
    </row>
    <row r="328" spans="1:4" ht="12.95" customHeight="1" x14ac:dyDescent="0.25">
      <c r="A328" s="2" t="s">
        <v>91</v>
      </c>
      <c r="B328" s="2" t="s">
        <v>977</v>
      </c>
      <c r="C328" s="5" t="s">
        <v>996</v>
      </c>
      <c r="D328" s="2" t="s">
        <v>997</v>
      </c>
    </row>
    <row r="329" spans="1:4" ht="12.95" customHeight="1" x14ac:dyDescent="0.25">
      <c r="A329" s="2" t="s">
        <v>91</v>
      </c>
      <c r="B329" s="2" t="s">
        <v>977</v>
      </c>
      <c r="C329" s="5" t="s">
        <v>978</v>
      </c>
      <c r="D329" s="2" t="s">
        <v>1047</v>
      </c>
    </row>
    <row r="330" spans="1:4" ht="12.95" customHeight="1" x14ac:dyDescent="0.25">
      <c r="A330" s="2" t="s">
        <v>91</v>
      </c>
      <c r="B330" s="2" t="s">
        <v>977</v>
      </c>
      <c r="C330" s="5" t="s">
        <v>980</v>
      </c>
      <c r="D330" s="2" t="s">
        <v>1041</v>
      </c>
    </row>
    <row r="331" spans="1:4" ht="12.95" customHeight="1" x14ac:dyDescent="0.25">
      <c r="A331" s="2" t="s">
        <v>91</v>
      </c>
      <c r="B331" s="2" t="s">
        <v>977</v>
      </c>
      <c r="C331" s="5" t="s">
        <v>982</v>
      </c>
      <c r="D331" s="2" t="s">
        <v>983</v>
      </c>
    </row>
    <row r="332" spans="1:4" ht="12.95" customHeight="1" x14ac:dyDescent="0.25">
      <c r="A332" s="2" t="s">
        <v>94</v>
      </c>
      <c r="B332" s="2" t="s">
        <v>1060</v>
      </c>
      <c r="C332" s="5" t="s">
        <v>982</v>
      </c>
      <c r="D332" s="2" t="s">
        <v>983</v>
      </c>
    </row>
    <row r="333" spans="1:4" ht="12.95" customHeight="1" x14ac:dyDescent="0.25">
      <c r="A333" s="2" t="s">
        <v>96</v>
      </c>
      <c r="B333" s="2" t="s">
        <v>1040</v>
      </c>
      <c r="C333" s="5" t="s">
        <v>996</v>
      </c>
      <c r="D333" s="2" t="s">
        <v>997</v>
      </c>
    </row>
    <row r="334" spans="1:4" ht="12.95" customHeight="1" x14ac:dyDescent="0.25">
      <c r="A334" s="2" t="s">
        <v>96</v>
      </c>
      <c r="B334" s="2" t="s">
        <v>1040</v>
      </c>
      <c r="C334" s="5" t="s">
        <v>1019</v>
      </c>
      <c r="D334" s="2" t="s">
        <v>1065</v>
      </c>
    </row>
    <row r="335" spans="1:4" ht="12.95" customHeight="1" x14ac:dyDescent="0.25">
      <c r="A335" s="2" t="s">
        <v>96</v>
      </c>
      <c r="B335" s="2" t="s">
        <v>1040</v>
      </c>
      <c r="C335" s="5" t="s">
        <v>1021</v>
      </c>
      <c r="D335" s="2" t="s">
        <v>1066</v>
      </c>
    </row>
    <row r="336" spans="1:4" ht="12.95" customHeight="1" x14ac:dyDescent="0.25">
      <c r="A336" s="2" t="s">
        <v>96</v>
      </c>
      <c r="B336" s="2" t="s">
        <v>1040</v>
      </c>
      <c r="C336" s="5" t="s">
        <v>1023</v>
      </c>
      <c r="D336" s="2" t="s">
        <v>1067</v>
      </c>
    </row>
    <row r="337" spans="1:4" ht="12.95" customHeight="1" x14ac:dyDescent="0.25">
      <c r="A337" s="2" t="s">
        <v>96</v>
      </c>
      <c r="B337" s="2" t="s">
        <v>1040</v>
      </c>
      <c r="C337" s="5" t="s">
        <v>1025</v>
      </c>
      <c r="D337" s="2" t="s">
        <v>1068</v>
      </c>
    </row>
    <row r="338" spans="1:4" ht="12.95" customHeight="1" x14ac:dyDescent="0.25">
      <c r="A338" s="2" t="s">
        <v>96</v>
      </c>
      <c r="B338" s="2" t="s">
        <v>1040</v>
      </c>
      <c r="C338" s="5" t="s">
        <v>1069</v>
      </c>
      <c r="D338" s="2" t="s">
        <v>1070</v>
      </c>
    </row>
    <row r="339" spans="1:4" ht="12.95" customHeight="1" x14ac:dyDescent="0.25">
      <c r="A339" s="2" t="s">
        <v>96</v>
      </c>
      <c r="B339" s="2" t="s">
        <v>1040</v>
      </c>
      <c r="C339" s="5" t="s">
        <v>1071</v>
      </c>
      <c r="D339" s="2" t="s">
        <v>1072</v>
      </c>
    </row>
    <row r="340" spans="1:4" ht="12.95" customHeight="1" x14ac:dyDescent="0.25">
      <c r="A340" s="2" t="s">
        <v>96</v>
      </c>
      <c r="B340" s="2" t="s">
        <v>1040</v>
      </c>
      <c r="C340" s="5" t="s">
        <v>1073</v>
      </c>
      <c r="D340" s="2" t="s">
        <v>1074</v>
      </c>
    </row>
    <row r="341" spans="1:4" ht="12.95" customHeight="1" x14ac:dyDescent="0.25">
      <c r="A341" s="2" t="s">
        <v>96</v>
      </c>
      <c r="B341" s="2" t="s">
        <v>1040</v>
      </c>
      <c r="C341" s="5" t="s">
        <v>1075</v>
      </c>
      <c r="D341" s="2" t="s">
        <v>1076</v>
      </c>
    </row>
    <row r="342" spans="1:4" ht="12.95" customHeight="1" x14ac:dyDescent="0.25">
      <c r="A342" s="2" t="s">
        <v>96</v>
      </c>
      <c r="B342" s="2" t="s">
        <v>1040</v>
      </c>
      <c r="C342" s="5" t="s">
        <v>1077</v>
      </c>
      <c r="D342" s="2" t="s">
        <v>1078</v>
      </c>
    </row>
    <row r="343" spans="1:4" ht="12.95" customHeight="1" x14ac:dyDescent="0.25">
      <c r="A343" s="2" t="s">
        <v>96</v>
      </c>
      <c r="B343" s="2" t="s">
        <v>1040</v>
      </c>
      <c r="C343" s="5" t="s">
        <v>1079</v>
      </c>
      <c r="D343" s="2" t="s">
        <v>1080</v>
      </c>
    </row>
    <row r="344" spans="1:4" ht="12.95" customHeight="1" x14ac:dyDescent="0.25">
      <c r="A344" s="2" t="s">
        <v>96</v>
      </c>
      <c r="B344" s="2" t="s">
        <v>1040</v>
      </c>
      <c r="C344" s="5" t="s">
        <v>1081</v>
      </c>
      <c r="D344" s="2" t="s">
        <v>1082</v>
      </c>
    </row>
    <row r="345" spans="1:4" ht="12.95" customHeight="1" x14ac:dyDescent="0.25">
      <c r="A345" s="2" t="s">
        <v>96</v>
      </c>
      <c r="B345" s="2" t="s">
        <v>1040</v>
      </c>
      <c r="C345" s="5" t="s">
        <v>1083</v>
      </c>
      <c r="D345" s="2" t="s">
        <v>1084</v>
      </c>
    </row>
    <row r="346" spans="1:4" ht="12.95" customHeight="1" x14ac:dyDescent="0.25">
      <c r="A346" s="2" t="s">
        <v>96</v>
      </c>
      <c r="B346" s="2" t="s">
        <v>1040</v>
      </c>
      <c r="C346" s="5" t="s">
        <v>1085</v>
      </c>
      <c r="D346" s="2" t="s">
        <v>1086</v>
      </c>
    </row>
    <row r="347" spans="1:4" ht="12.95" customHeight="1" x14ac:dyDescent="0.25">
      <c r="A347" s="2" t="s">
        <v>96</v>
      </c>
      <c r="B347" s="2" t="s">
        <v>1040</v>
      </c>
      <c r="C347" s="5" t="s">
        <v>1087</v>
      </c>
      <c r="D347" s="2" t="s">
        <v>1088</v>
      </c>
    </row>
    <row r="348" spans="1:4" ht="12.95" customHeight="1" x14ac:dyDescent="0.25">
      <c r="A348" s="2" t="s">
        <v>96</v>
      </c>
      <c r="B348" s="2" t="s">
        <v>1040</v>
      </c>
      <c r="C348" s="5" t="s">
        <v>1089</v>
      </c>
      <c r="D348" s="2" t="s">
        <v>1090</v>
      </c>
    </row>
    <row r="349" spans="1:4" ht="12.95" customHeight="1" x14ac:dyDescent="0.25">
      <c r="A349" s="2" t="s">
        <v>96</v>
      </c>
      <c r="B349" s="2" t="s">
        <v>1040</v>
      </c>
      <c r="C349" s="5" t="s">
        <v>1091</v>
      </c>
      <c r="D349" s="2" t="s">
        <v>1092</v>
      </c>
    </row>
    <row r="350" spans="1:4" ht="12.95" customHeight="1" x14ac:dyDescent="0.25">
      <c r="A350" s="2" t="s">
        <v>96</v>
      </c>
      <c r="B350" s="2" t="s">
        <v>1040</v>
      </c>
      <c r="C350" s="5" t="s">
        <v>1093</v>
      </c>
      <c r="D350" s="2" t="s">
        <v>1094</v>
      </c>
    </row>
    <row r="351" spans="1:4" ht="12.95" customHeight="1" x14ac:dyDescent="0.25">
      <c r="A351" s="2" t="s">
        <v>96</v>
      </c>
      <c r="B351" s="2" t="s">
        <v>1040</v>
      </c>
      <c r="C351" s="5" t="s">
        <v>1095</v>
      </c>
      <c r="D351" s="2" t="s">
        <v>1096</v>
      </c>
    </row>
    <row r="352" spans="1:4" ht="12.95" customHeight="1" x14ac:dyDescent="0.25">
      <c r="A352" s="2" t="s">
        <v>96</v>
      </c>
      <c r="B352" s="2" t="s">
        <v>1040</v>
      </c>
      <c r="C352" s="5" t="s">
        <v>1097</v>
      </c>
      <c r="D352" s="2" t="s">
        <v>1098</v>
      </c>
    </row>
    <row r="353" spans="1:4" ht="12.95" customHeight="1" x14ac:dyDescent="0.25">
      <c r="A353" s="2" t="s">
        <v>96</v>
      </c>
      <c r="B353" s="2" t="s">
        <v>1040</v>
      </c>
      <c r="C353" s="5" t="s">
        <v>1099</v>
      </c>
      <c r="D353" s="2" t="s">
        <v>1100</v>
      </c>
    </row>
    <row r="354" spans="1:4" ht="12.95" customHeight="1" x14ac:dyDescent="0.25">
      <c r="A354" s="2" t="s">
        <v>96</v>
      </c>
      <c r="B354" s="2" t="s">
        <v>1040</v>
      </c>
      <c r="C354" s="5" t="s">
        <v>1101</v>
      </c>
      <c r="D354" s="2" t="s">
        <v>1102</v>
      </c>
    </row>
    <row r="355" spans="1:4" ht="12.95" customHeight="1" x14ac:dyDescent="0.25">
      <c r="A355" s="2" t="s">
        <v>96</v>
      </c>
      <c r="B355" s="2" t="s">
        <v>1040</v>
      </c>
      <c r="C355" s="5" t="s">
        <v>1103</v>
      </c>
      <c r="D355" s="2" t="s">
        <v>1104</v>
      </c>
    </row>
    <row r="356" spans="1:4" ht="12.95" customHeight="1" x14ac:dyDescent="0.25">
      <c r="A356" s="2" t="s">
        <v>96</v>
      </c>
      <c r="B356" s="2" t="s">
        <v>1040</v>
      </c>
      <c r="C356" s="5" t="s">
        <v>1105</v>
      </c>
      <c r="D356" s="2" t="s">
        <v>1106</v>
      </c>
    </row>
    <row r="357" spans="1:4" ht="12.95" customHeight="1" x14ac:dyDescent="0.25">
      <c r="A357" s="2" t="s">
        <v>96</v>
      </c>
      <c r="B357" s="2" t="s">
        <v>1040</v>
      </c>
      <c r="C357" s="5" t="s">
        <v>1107</v>
      </c>
      <c r="D357" s="2" t="s">
        <v>1108</v>
      </c>
    </row>
    <row r="358" spans="1:4" ht="12.95" customHeight="1" x14ac:dyDescent="0.25">
      <c r="A358" s="2" t="s">
        <v>96</v>
      </c>
      <c r="B358" s="2" t="s">
        <v>1040</v>
      </c>
      <c r="C358" s="5" t="s">
        <v>1109</v>
      </c>
      <c r="D358" s="2" t="s">
        <v>1110</v>
      </c>
    </row>
    <row r="359" spans="1:4" ht="12.95" customHeight="1" x14ac:dyDescent="0.25">
      <c r="A359" s="2" t="s">
        <v>96</v>
      </c>
      <c r="B359" s="2" t="s">
        <v>1040</v>
      </c>
      <c r="C359" s="5" t="s">
        <v>1111</v>
      </c>
      <c r="D359" s="2" t="s">
        <v>1112</v>
      </c>
    </row>
    <row r="360" spans="1:4" ht="12.95" customHeight="1" x14ac:dyDescent="0.25">
      <c r="A360" s="2" t="s">
        <v>96</v>
      </c>
      <c r="B360" s="2" t="s">
        <v>1040</v>
      </c>
      <c r="C360" s="5" t="s">
        <v>1113</v>
      </c>
      <c r="D360" s="2" t="s">
        <v>1114</v>
      </c>
    </row>
    <row r="361" spans="1:4" ht="12.95" customHeight="1" x14ac:dyDescent="0.25">
      <c r="A361" s="2" t="s">
        <v>96</v>
      </c>
      <c r="B361" s="2" t="s">
        <v>1040</v>
      </c>
      <c r="C361" s="5" t="s">
        <v>1115</v>
      </c>
      <c r="D361" s="2" t="s">
        <v>1116</v>
      </c>
    </row>
    <row r="362" spans="1:4" ht="12.95" customHeight="1" x14ac:dyDescent="0.25">
      <c r="A362" s="2" t="s">
        <v>96</v>
      </c>
      <c r="B362" s="2" t="s">
        <v>1040</v>
      </c>
      <c r="C362" s="5" t="s">
        <v>1117</v>
      </c>
      <c r="D362" s="2" t="s">
        <v>1118</v>
      </c>
    </row>
    <row r="363" spans="1:4" ht="12.95" customHeight="1" x14ac:dyDescent="0.25">
      <c r="A363" s="2" t="s">
        <v>96</v>
      </c>
      <c r="B363" s="2" t="s">
        <v>1040</v>
      </c>
      <c r="C363" s="5" t="s">
        <v>1119</v>
      </c>
      <c r="D363" s="2" t="s">
        <v>1120</v>
      </c>
    </row>
    <row r="364" spans="1:4" ht="12.95" customHeight="1" x14ac:dyDescent="0.25">
      <c r="A364" s="2" t="s">
        <v>96</v>
      </c>
      <c r="B364" s="2" t="s">
        <v>1040</v>
      </c>
      <c r="C364" s="5" t="s">
        <v>1121</v>
      </c>
      <c r="D364" s="2" t="s">
        <v>1122</v>
      </c>
    </row>
    <row r="365" spans="1:4" ht="12.95" customHeight="1" x14ac:dyDescent="0.25">
      <c r="A365" s="2" t="s">
        <v>96</v>
      </c>
      <c r="B365" s="2" t="s">
        <v>1040</v>
      </c>
      <c r="C365" s="5" t="s">
        <v>1123</v>
      </c>
      <c r="D365" s="2" t="s">
        <v>1124</v>
      </c>
    </row>
    <row r="366" spans="1:4" ht="12.95" customHeight="1" x14ac:dyDescent="0.25">
      <c r="A366" s="2" t="s">
        <v>96</v>
      </c>
      <c r="B366" s="2" t="s">
        <v>1040</v>
      </c>
      <c r="C366" s="5" t="s">
        <v>1125</v>
      </c>
      <c r="D366" s="2" t="s">
        <v>1126</v>
      </c>
    </row>
    <row r="367" spans="1:4" ht="12.95" customHeight="1" x14ac:dyDescent="0.25">
      <c r="A367" s="2" t="s">
        <v>96</v>
      </c>
      <c r="B367" s="2" t="s">
        <v>1040</v>
      </c>
      <c r="C367" s="5" t="s">
        <v>1127</v>
      </c>
      <c r="D367" s="2" t="s">
        <v>1128</v>
      </c>
    </row>
    <row r="368" spans="1:4" ht="12.95" customHeight="1" x14ac:dyDescent="0.25">
      <c r="A368" s="2" t="s">
        <v>96</v>
      </c>
      <c r="B368" s="2" t="s">
        <v>1040</v>
      </c>
      <c r="C368" s="5" t="s">
        <v>1129</v>
      </c>
      <c r="D368" s="2" t="s">
        <v>1130</v>
      </c>
    </row>
    <row r="369" spans="1:4" ht="12.95" customHeight="1" x14ac:dyDescent="0.25">
      <c r="A369" s="2" t="s">
        <v>96</v>
      </c>
      <c r="B369" s="2" t="s">
        <v>1040</v>
      </c>
      <c r="C369" s="5" t="s">
        <v>1131</v>
      </c>
      <c r="D369" s="2" t="s">
        <v>1132</v>
      </c>
    </row>
    <row r="370" spans="1:4" ht="12.95" customHeight="1" x14ac:dyDescent="0.25">
      <c r="A370" s="2" t="s">
        <v>98</v>
      </c>
      <c r="B370" s="2" t="s">
        <v>1040</v>
      </c>
      <c r="C370" s="5" t="s">
        <v>984</v>
      </c>
      <c r="D370" s="2" t="s">
        <v>1133</v>
      </c>
    </row>
    <row r="371" spans="1:4" ht="12.95" customHeight="1" x14ac:dyDescent="0.25">
      <c r="A371" s="2" t="s">
        <v>98</v>
      </c>
      <c r="B371" s="2" t="s">
        <v>1040</v>
      </c>
      <c r="C371" s="5" t="s">
        <v>986</v>
      </c>
      <c r="D371" s="2" t="s">
        <v>1134</v>
      </c>
    </row>
    <row r="372" spans="1:4" ht="12.95" customHeight="1" x14ac:dyDescent="0.25">
      <c r="A372" s="2" t="s">
        <v>98</v>
      </c>
      <c r="B372" s="2" t="s">
        <v>1040</v>
      </c>
      <c r="C372" s="5" t="s">
        <v>988</v>
      </c>
      <c r="D372" s="2" t="s">
        <v>1135</v>
      </c>
    </row>
    <row r="373" spans="1:4" ht="12.95" customHeight="1" x14ac:dyDescent="0.25">
      <c r="A373" s="2" t="s">
        <v>98</v>
      </c>
      <c r="B373" s="2" t="s">
        <v>1040</v>
      </c>
      <c r="C373" s="5" t="s">
        <v>990</v>
      </c>
      <c r="D373" s="2" t="s">
        <v>1136</v>
      </c>
    </row>
    <row r="374" spans="1:4" ht="12.95" customHeight="1" x14ac:dyDescent="0.25">
      <c r="A374" s="2" t="s">
        <v>98</v>
      </c>
      <c r="B374" s="2" t="s">
        <v>1040</v>
      </c>
      <c r="C374" s="5" t="s">
        <v>992</v>
      </c>
      <c r="D374" s="2" t="s">
        <v>1137</v>
      </c>
    </row>
    <row r="375" spans="1:4" ht="12.95" customHeight="1" x14ac:dyDescent="0.25">
      <c r="A375" s="2" t="s">
        <v>98</v>
      </c>
      <c r="B375" s="2" t="s">
        <v>1040</v>
      </c>
      <c r="C375" s="5" t="s">
        <v>994</v>
      </c>
      <c r="D375" s="2" t="s">
        <v>1138</v>
      </c>
    </row>
    <row r="376" spans="1:4" ht="12.95" customHeight="1" x14ac:dyDescent="0.25">
      <c r="A376" s="2" t="s">
        <v>98</v>
      </c>
      <c r="B376" s="2" t="s">
        <v>1040</v>
      </c>
      <c r="C376" s="5" t="s">
        <v>1003</v>
      </c>
      <c r="D376" s="2" t="s">
        <v>1139</v>
      </c>
    </row>
    <row r="377" spans="1:4" ht="12.95" customHeight="1" x14ac:dyDescent="0.25">
      <c r="A377" s="2" t="s">
        <v>98</v>
      </c>
      <c r="B377" s="2" t="s">
        <v>1040</v>
      </c>
      <c r="C377" s="5" t="s">
        <v>1013</v>
      </c>
      <c r="D377" s="2" t="s">
        <v>1140</v>
      </c>
    </row>
    <row r="378" spans="1:4" ht="12.95" customHeight="1" x14ac:dyDescent="0.25">
      <c r="A378" s="2" t="s">
        <v>98</v>
      </c>
      <c r="B378" s="2" t="s">
        <v>1040</v>
      </c>
      <c r="C378" s="5" t="s">
        <v>1015</v>
      </c>
      <c r="D378" s="2" t="s">
        <v>1141</v>
      </c>
    </row>
    <row r="379" spans="1:4" ht="12.95" customHeight="1" x14ac:dyDescent="0.25">
      <c r="A379" s="2" t="s">
        <v>100</v>
      </c>
      <c r="B379" s="2" t="s">
        <v>1040</v>
      </c>
      <c r="C379" s="5" t="s">
        <v>984</v>
      </c>
      <c r="D379" s="2" t="s">
        <v>1142</v>
      </c>
    </row>
    <row r="380" spans="1:4" ht="12.95" customHeight="1" x14ac:dyDescent="0.25">
      <c r="A380" s="2" t="s">
        <v>100</v>
      </c>
      <c r="B380" s="2" t="s">
        <v>1040</v>
      </c>
      <c r="C380" s="5" t="s">
        <v>986</v>
      </c>
      <c r="D380" s="2" t="s">
        <v>1143</v>
      </c>
    </row>
    <row r="381" spans="1:4" ht="12.95" customHeight="1" x14ac:dyDescent="0.25">
      <c r="A381" s="2" t="s">
        <v>100</v>
      </c>
      <c r="B381" s="2" t="s">
        <v>1040</v>
      </c>
      <c r="C381" s="5" t="s">
        <v>988</v>
      </c>
      <c r="D381" s="2" t="s">
        <v>1144</v>
      </c>
    </row>
    <row r="382" spans="1:4" ht="12.95" customHeight="1" x14ac:dyDescent="0.25">
      <c r="A382" s="2" t="s">
        <v>100</v>
      </c>
      <c r="B382" s="2" t="s">
        <v>1040</v>
      </c>
      <c r="C382" s="5" t="s">
        <v>990</v>
      </c>
      <c r="D382" s="2" t="s">
        <v>1145</v>
      </c>
    </row>
    <row r="383" spans="1:4" ht="12.95" customHeight="1" x14ac:dyDescent="0.25">
      <c r="A383" s="2" t="s">
        <v>102</v>
      </c>
      <c r="B383" s="2" t="s">
        <v>1060</v>
      </c>
      <c r="C383" s="5" t="s">
        <v>996</v>
      </c>
      <c r="D383" s="2" t="s">
        <v>997</v>
      </c>
    </row>
    <row r="384" spans="1:4" ht="12.95" customHeight="1" x14ac:dyDescent="0.25">
      <c r="A384" s="2" t="s">
        <v>108</v>
      </c>
      <c r="B384" s="2" t="s">
        <v>1060</v>
      </c>
      <c r="C384" s="5" t="s">
        <v>996</v>
      </c>
      <c r="D384" s="2" t="s">
        <v>997</v>
      </c>
    </row>
    <row r="385" spans="1:4" ht="12.95" customHeight="1" x14ac:dyDescent="0.25">
      <c r="A385" s="2" t="s">
        <v>108</v>
      </c>
      <c r="B385" s="2" t="s">
        <v>1060</v>
      </c>
      <c r="C385" s="5" t="s">
        <v>982</v>
      </c>
      <c r="D385" s="2" t="s">
        <v>983</v>
      </c>
    </row>
    <row r="386" spans="1:4" ht="12.95" customHeight="1" x14ac:dyDescent="0.25">
      <c r="A386" s="2" t="s">
        <v>110</v>
      </c>
      <c r="B386" s="2" t="s">
        <v>977</v>
      </c>
      <c r="C386" s="5" t="s">
        <v>996</v>
      </c>
      <c r="D386" s="2" t="s">
        <v>997</v>
      </c>
    </row>
    <row r="387" spans="1:4" ht="12.95" customHeight="1" x14ac:dyDescent="0.25">
      <c r="A387" s="2" t="s">
        <v>110</v>
      </c>
      <c r="B387" s="2" t="s">
        <v>977</v>
      </c>
      <c r="C387" s="5" t="s">
        <v>978</v>
      </c>
      <c r="D387" s="2" t="s">
        <v>979</v>
      </c>
    </row>
    <row r="388" spans="1:4" ht="12.95" customHeight="1" x14ac:dyDescent="0.25">
      <c r="A388" s="2" t="s">
        <v>110</v>
      </c>
      <c r="B388" s="2" t="s">
        <v>977</v>
      </c>
      <c r="C388" s="5" t="s">
        <v>980</v>
      </c>
      <c r="D388" s="2" t="s">
        <v>981</v>
      </c>
    </row>
    <row r="389" spans="1:4" ht="12.95" customHeight="1" x14ac:dyDescent="0.25">
      <c r="A389" s="2" t="s">
        <v>110</v>
      </c>
      <c r="B389" s="2" t="s">
        <v>977</v>
      </c>
      <c r="C389" s="5" t="s">
        <v>982</v>
      </c>
      <c r="D389" s="2" t="s">
        <v>983</v>
      </c>
    </row>
    <row r="390" spans="1:4" ht="12.95" customHeight="1" x14ac:dyDescent="0.25">
      <c r="A390" s="2" t="s">
        <v>110</v>
      </c>
      <c r="B390" s="2" t="s">
        <v>977</v>
      </c>
      <c r="C390" s="5" t="s">
        <v>984</v>
      </c>
      <c r="D390" s="2" t="s">
        <v>1146</v>
      </c>
    </row>
    <row r="391" spans="1:4" ht="12.95" customHeight="1" x14ac:dyDescent="0.25">
      <c r="A391" s="2" t="s">
        <v>110</v>
      </c>
      <c r="B391" s="2" t="s">
        <v>977</v>
      </c>
      <c r="C391" s="5" t="s">
        <v>986</v>
      </c>
      <c r="D391" s="2" t="s">
        <v>1147</v>
      </c>
    </row>
    <row r="392" spans="1:4" ht="12.95" customHeight="1" x14ac:dyDescent="0.25">
      <c r="A392" s="2" t="s">
        <v>110</v>
      </c>
      <c r="B392" s="2" t="s">
        <v>977</v>
      </c>
      <c r="C392" s="5" t="s">
        <v>988</v>
      </c>
      <c r="D392" s="2" t="s">
        <v>1148</v>
      </c>
    </row>
    <row r="393" spans="1:4" ht="12.95" customHeight="1" x14ac:dyDescent="0.25">
      <c r="A393" s="2" t="s">
        <v>110</v>
      </c>
      <c r="B393" s="2" t="s">
        <v>977</v>
      </c>
      <c r="C393" s="5" t="s">
        <v>990</v>
      </c>
      <c r="D393" s="2" t="s">
        <v>1149</v>
      </c>
    </row>
    <row r="394" spans="1:4" ht="12.95" customHeight="1" x14ac:dyDescent="0.25">
      <c r="A394" s="2" t="s">
        <v>110</v>
      </c>
      <c r="B394" s="2" t="s">
        <v>977</v>
      </c>
      <c r="C394" s="5" t="s">
        <v>992</v>
      </c>
      <c r="D394" s="2" t="s">
        <v>1150</v>
      </c>
    </row>
    <row r="395" spans="1:4" ht="12.95" customHeight="1" x14ac:dyDescent="0.25">
      <c r="A395" s="2" t="s">
        <v>110</v>
      </c>
      <c r="B395" s="2" t="s">
        <v>977</v>
      </c>
      <c r="C395" s="5" t="s">
        <v>994</v>
      </c>
      <c r="D395" s="2" t="s">
        <v>1151</v>
      </c>
    </row>
    <row r="396" spans="1:4" ht="12.95" customHeight="1" x14ac:dyDescent="0.25">
      <c r="A396" s="2" t="s">
        <v>110</v>
      </c>
      <c r="B396" s="2" t="s">
        <v>977</v>
      </c>
      <c r="C396" s="5" t="s">
        <v>1003</v>
      </c>
      <c r="D396" s="2" t="s">
        <v>1152</v>
      </c>
    </row>
    <row r="397" spans="1:4" ht="12.95" customHeight="1" x14ac:dyDescent="0.25">
      <c r="A397" s="2" t="s">
        <v>110</v>
      </c>
      <c r="B397" s="2" t="s">
        <v>977</v>
      </c>
      <c r="C397" s="5" t="s">
        <v>1015</v>
      </c>
      <c r="D397" s="2" t="s">
        <v>1059</v>
      </c>
    </row>
    <row r="398" spans="1:4" ht="12.95" customHeight="1" x14ac:dyDescent="0.25">
      <c r="A398" s="2" t="s">
        <v>113</v>
      </c>
      <c r="B398" s="2" t="s">
        <v>977</v>
      </c>
      <c r="C398" s="5" t="s">
        <v>996</v>
      </c>
      <c r="D398" s="2" t="s">
        <v>997</v>
      </c>
    </row>
    <row r="399" spans="1:4" ht="12.95" customHeight="1" x14ac:dyDescent="0.25">
      <c r="A399" s="2" t="s">
        <v>113</v>
      </c>
      <c r="B399" s="2" t="s">
        <v>977</v>
      </c>
      <c r="C399" s="5" t="s">
        <v>978</v>
      </c>
      <c r="D399" s="2" t="s">
        <v>979</v>
      </c>
    </row>
    <row r="400" spans="1:4" ht="12.95" customHeight="1" x14ac:dyDescent="0.25">
      <c r="A400" s="2" t="s">
        <v>113</v>
      </c>
      <c r="B400" s="2" t="s">
        <v>977</v>
      </c>
      <c r="C400" s="5" t="s">
        <v>980</v>
      </c>
      <c r="D400" s="2" t="s">
        <v>981</v>
      </c>
    </row>
    <row r="401" spans="1:4" ht="12.95" customHeight="1" x14ac:dyDescent="0.25">
      <c r="A401" s="2" t="s">
        <v>113</v>
      </c>
      <c r="B401" s="2" t="s">
        <v>977</v>
      </c>
      <c r="C401" s="5" t="s">
        <v>982</v>
      </c>
      <c r="D401" s="2" t="s">
        <v>983</v>
      </c>
    </row>
    <row r="402" spans="1:4" ht="12.95" customHeight="1" x14ac:dyDescent="0.25">
      <c r="A402" s="2" t="s">
        <v>113</v>
      </c>
      <c r="B402" s="2" t="s">
        <v>977</v>
      </c>
      <c r="C402" s="5" t="s">
        <v>984</v>
      </c>
      <c r="D402" s="2" t="s">
        <v>1146</v>
      </c>
    </row>
    <row r="403" spans="1:4" ht="12.95" customHeight="1" x14ac:dyDescent="0.25">
      <c r="A403" s="2" t="s">
        <v>113</v>
      </c>
      <c r="B403" s="2" t="s">
        <v>977</v>
      </c>
      <c r="C403" s="5" t="s">
        <v>986</v>
      </c>
      <c r="D403" s="2" t="s">
        <v>1147</v>
      </c>
    </row>
    <row r="404" spans="1:4" ht="12.95" customHeight="1" x14ac:dyDescent="0.25">
      <c r="A404" s="2" t="s">
        <v>113</v>
      </c>
      <c r="B404" s="2" t="s">
        <v>977</v>
      </c>
      <c r="C404" s="5" t="s">
        <v>988</v>
      </c>
      <c r="D404" s="2" t="s">
        <v>1148</v>
      </c>
    </row>
    <row r="405" spans="1:4" ht="12.95" customHeight="1" x14ac:dyDescent="0.25">
      <c r="A405" s="2" t="s">
        <v>113</v>
      </c>
      <c r="B405" s="2" t="s">
        <v>977</v>
      </c>
      <c r="C405" s="5" t="s">
        <v>990</v>
      </c>
      <c r="D405" s="2" t="s">
        <v>1149</v>
      </c>
    </row>
    <row r="406" spans="1:4" ht="12.95" customHeight="1" x14ac:dyDescent="0.25">
      <c r="A406" s="2" t="s">
        <v>113</v>
      </c>
      <c r="B406" s="2" t="s">
        <v>977</v>
      </c>
      <c r="C406" s="5" t="s">
        <v>992</v>
      </c>
      <c r="D406" s="2" t="s">
        <v>1150</v>
      </c>
    </row>
    <row r="407" spans="1:4" ht="12.95" customHeight="1" x14ac:dyDescent="0.25">
      <c r="A407" s="2" t="s">
        <v>113</v>
      </c>
      <c r="B407" s="2" t="s">
        <v>977</v>
      </c>
      <c r="C407" s="5" t="s">
        <v>994</v>
      </c>
      <c r="D407" s="2" t="s">
        <v>1151</v>
      </c>
    </row>
    <row r="408" spans="1:4" ht="12.95" customHeight="1" x14ac:dyDescent="0.25">
      <c r="A408" s="2" t="s">
        <v>113</v>
      </c>
      <c r="B408" s="2" t="s">
        <v>977</v>
      </c>
      <c r="C408" s="5" t="s">
        <v>1003</v>
      </c>
      <c r="D408" s="2" t="s">
        <v>1152</v>
      </c>
    </row>
    <row r="409" spans="1:4" ht="12.95" customHeight="1" x14ac:dyDescent="0.25">
      <c r="A409" s="2" t="s">
        <v>113</v>
      </c>
      <c r="B409" s="2" t="s">
        <v>977</v>
      </c>
      <c r="C409" s="5" t="s">
        <v>1015</v>
      </c>
      <c r="D409" s="2" t="s">
        <v>1059</v>
      </c>
    </row>
    <row r="410" spans="1:4" ht="12.95" customHeight="1" x14ac:dyDescent="0.25">
      <c r="A410" s="2" t="s">
        <v>115</v>
      </c>
      <c r="B410" s="2" t="s">
        <v>977</v>
      </c>
      <c r="C410" s="5" t="s">
        <v>996</v>
      </c>
      <c r="D410" s="2" t="s">
        <v>997</v>
      </c>
    </row>
    <row r="411" spans="1:4" ht="12.95" customHeight="1" x14ac:dyDescent="0.25">
      <c r="A411" s="2" t="s">
        <v>115</v>
      </c>
      <c r="B411" s="2" t="s">
        <v>977</v>
      </c>
      <c r="C411" s="5" t="s">
        <v>978</v>
      </c>
      <c r="D411" s="2" t="s">
        <v>979</v>
      </c>
    </row>
    <row r="412" spans="1:4" ht="12.95" customHeight="1" x14ac:dyDescent="0.25">
      <c r="A412" s="2" t="s">
        <v>115</v>
      </c>
      <c r="B412" s="2" t="s">
        <v>977</v>
      </c>
      <c r="C412" s="5" t="s">
        <v>980</v>
      </c>
      <c r="D412" s="2" t="s">
        <v>981</v>
      </c>
    </row>
    <row r="413" spans="1:4" ht="12.95" customHeight="1" x14ac:dyDescent="0.25">
      <c r="A413" s="2" t="s">
        <v>115</v>
      </c>
      <c r="B413" s="2" t="s">
        <v>977</v>
      </c>
      <c r="C413" s="5" t="s">
        <v>982</v>
      </c>
      <c r="D413" s="2" t="s">
        <v>983</v>
      </c>
    </row>
    <row r="414" spans="1:4" ht="12.95" customHeight="1" x14ac:dyDescent="0.25">
      <c r="A414" s="2" t="s">
        <v>115</v>
      </c>
      <c r="B414" s="2" t="s">
        <v>977</v>
      </c>
      <c r="C414" s="5" t="s">
        <v>984</v>
      </c>
      <c r="D414" s="2" t="s">
        <v>1146</v>
      </c>
    </row>
    <row r="415" spans="1:4" ht="12.95" customHeight="1" x14ac:dyDescent="0.25">
      <c r="A415" s="2" t="s">
        <v>115</v>
      </c>
      <c r="B415" s="2" t="s">
        <v>977</v>
      </c>
      <c r="C415" s="5" t="s">
        <v>986</v>
      </c>
      <c r="D415" s="2" t="s">
        <v>1147</v>
      </c>
    </row>
    <row r="416" spans="1:4" ht="12.95" customHeight="1" x14ac:dyDescent="0.25">
      <c r="A416" s="2" t="s">
        <v>115</v>
      </c>
      <c r="B416" s="2" t="s">
        <v>977</v>
      </c>
      <c r="C416" s="5" t="s">
        <v>988</v>
      </c>
      <c r="D416" s="2" t="s">
        <v>1148</v>
      </c>
    </row>
    <row r="417" spans="1:4" ht="12.95" customHeight="1" x14ac:dyDescent="0.25">
      <c r="A417" s="2" t="s">
        <v>115</v>
      </c>
      <c r="B417" s="2" t="s">
        <v>977</v>
      </c>
      <c r="C417" s="5" t="s">
        <v>990</v>
      </c>
      <c r="D417" s="2" t="s">
        <v>1149</v>
      </c>
    </row>
    <row r="418" spans="1:4" ht="12.95" customHeight="1" x14ac:dyDescent="0.25">
      <c r="A418" s="2" t="s">
        <v>115</v>
      </c>
      <c r="B418" s="2" t="s">
        <v>977</v>
      </c>
      <c r="C418" s="5" t="s">
        <v>992</v>
      </c>
      <c r="D418" s="2" t="s">
        <v>1150</v>
      </c>
    </row>
    <row r="419" spans="1:4" ht="12.95" customHeight="1" x14ac:dyDescent="0.25">
      <c r="A419" s="2" t="s">
        <v>115</v>
      </c>
      <c r="B419" s="2" t="s">
        <v>977</v>
      </c>
      <c r="C419" s="5" t="s">
        <v>994</v>
      </c>
      <c r="D419" s="2" t="s">
        <v>1151</v>
      </c>
    </row>
    <row r="420" spans="1:4" ht="12.95" customHeight="1" x14ac:dyDescent="0.25">
      <c r="A420" s="2" t="s">
        <v>115</v>
      </c>
      <c r="B420" s="2" t="s">
        <v>977</v>
      </c>
      <c r="C420" s="5" t="s">
        <v>1003</v>
      </c>
      <c r="D420" s="2" t="s">
        <v>1152</v>
      </c>
    </row>
    <row r="421" spans="1:4" ht="12.95" customHeight="1" x14ac:dyDescent="0.25">
      <c r="A421" s="2" t="s">
        <v>115</v>
      </c>
      <c r="B421" s="2" t="s">
        <v>977</v>
      </c>
      <c r="C421" s="5" t="s">
        <v>1015</v>
      </c>
      <c r="D421" s="2" t="s">
        <v>1059</v>
      </c>
    </row>
    <row r="422" spans="1:4" ht="12.95" customHeight="1" x14ac:dyDescent="0.25">
      <c r="A422" s="2" t="s">
        <v>117</v>
      </c>
      <c r="B422" s="2" t="s">
        <v>977</v>
      </c>
      <c r="C422" s="5" t="s">
        <v>996</v>
      </c>
      <c r="D422" s="2" t="s">
        <v>997</v>
      </c>
    </row>
    <row r="423" spans="1:4" ht="12.95" customHeight="1" x14ac:dyDescent="0.25">
      <c r="A423" s="2" t="s">
        <v>117</v>
      </c>
      <c r="B423" s="2" t="s">
        <v>977</v>
      </c>
      <c r="C423" s="5" t="s">
        <v>978</v>
      </c>
      <c r="D423" s="2" t="s">
        <v>979</v>
      </c>
    </row>
    <row r="424" spans="1:4" ht="12.95" customHeight="1" x14ac:dyDescent="0.25">
      <c r="A424" s="2" t="s">
        <v>117</v>
      </c>
      <c r="B424" s="2" t="s">
        <v>977</v>
      </c>
      <c r="C424" s="5" t="s">
        <v>980</v>
      </c>
      <c r="D424" s="2" t="s">
        <v>981</v>
      </c>
    </row>
    <row r="425" spans="1:4" ht="12.95" customHeight="1" x14ac:dyDescent="0.25">
      <c r="A425" s="2" t="s">
        <v>117</v>
      </c>
      <c r="B425" s="2" t="s">
        <v>977</v>
      </c>
      <c r="C425" s="5" t="s">
        <v>982</v>
      </c>
      <c r="D425" s="2" t="s">
        <v>983</v>
      </c>
    </row>
    <row r="426" spans="1:4" ht="12.95" customHeight="1" x14ac:dyDescent="0.25">
      <c r="A426" s="2" t="s">
        <v>117</v>
      </c>
      <c r="B426" s="2" t="s">
        <v>977</v>
      </c>
      <c r="C426" s="5" t="s">
        <v>984</v>
      </c>
      <c r="D426" s="2" t="s">
        <v>1146</v>
      </c>
    </row>
    <row r="427" spans="1:4" ht="12.95" customHeight="1" x14ac:dyDescent="0.25">
      <c r="A427" s="2" t="s">
        <v>117</v>
      </c>
      <c r="B427" s="2" t="s">
        <v>977</v>
      </c>
      <c r="C427" s="5" t="s">
        <v>986</v>
      </c>
      <c r="D427" s="2" t="s">
        <v>1147</v>
      </c>
    </row>
    <row r="428" spans="1:4" ht="12.95" customHeight="1" x14ac:dyDescent="0.25">
      <c r="A428" s="2" t="s">
        <v>117</v>
      </c>
      <c r="B428" s="2" t="s">
        <v>977</v>
      </c>
      <c r="C428" s="5" t="s">
        <v>988</v>
      </c>
      <c r="D428" s="2" t="s">
        <v>1148</v>
      </c>
    </row>
    <row r="429" spans="1:4" ht="12.95" customHeight="1" x14ac:dyDescent="0.25">
      <c r="A429" s="2" t="s">
        <v>117</v>
      </c>
      <c r="B429" s="2" t="s">
        <v>977</v>
      </c>
      <c r="C429" s="5" t="s">
        <v>990</v>
      </c>
      <c r="D429" s="2" t="s">
        <v>1149</v>
      </c>
    </row>
    <row r="430" spans="1:4" ht="12.95" customHeight="1" x14ac:dyDescent="0.25">
      <c r="A430" s="2" t="s">
        <v>117</v>
      </c>
      <c r="B430" s="2" t="s">
        <v>977</v>
      </c>
      <c r="C430" s="5" t="s">
        <v>992</v>
      </c>
      <c r="D430" s="2" t="s">
        <v>1150</v>
      </c>
    </row>
    <row r="431" spans="1:4" ht="12.95" customHeight="1" x14ac:dyDescent="0.25">
      <c r="A431" s="2" t="s">
        <v>117</v>
      </c>
      <c r="B431" s="2" t="s">
        <v>977</v>
      </c>
      <c r="C431" s="5" t="s">
        <v>994</v>
      </c>
      <c r="D431" s="2" t="s">
        <v>1151</v>
      </c>
    </row>
    <row r="432" spans="1:4" ht="12.95" customHeight="1" x14ac:dyDescent="0.25">
      <c r="A432" s="2" t="s">
        <v>117</v>
      </c>
      <c r="B432" s="2" t="s">
        <v>977</v>
      </c>
      <c r="C432" s="5" t="s">
        <v>1003</v>
      </c>
      <c r="D432" s="2" t="s">
        <v>1152</v>
      </c>
    </row>
    <row r="433" spans="1:4" ht="12.95" customHeight="1" x14ac:dyDescent="0.25">
      <c r="A433" s="2" t="s">
        <v>117</v>
      </c>
      <c r="B433" s="2" t="s">
        <v>977</v>
      </c>
      <c r="C433" s="5" t="s">
        <v>1015</v>
      </c>
      <c r="D433" s="2" t="s">
        <v>1059</v>
      </c>
    </row>
    <row r="434" spans="1:4" ht="12.95" customHeight="1" x14ac:dyDescent="0.25">
      <c r="A434" s="2" t="s">
        <v>119</v>
      </c>
      <c r="B434" s="2" t="s">
        <v>977</v>
      </c>
      <c r="C434" s="5" t="s">
        <v>996</v>
      </c>
      <c r="D434" s="2" t="s">
        <v>997</v>
      </c>
    </row>
    <row r="435" spans="1:4" ht="12.95" customHeight="1" x14ac:dyDescent="0.25">
      <c r="A435" s="2" t="s">
        <v>119</v>
      </c>
      <c r="B435" s="2" t="s">
        <v>977</v>
      </c>
      <c r="C435" s="5" t="s">
        <v>978</v>
      </c>
      <c r="D435" s="2" t="s">
        <v>979</v>
      </c>
    </row>
    <row r="436" spans="1:4" ht="12.95" customHeight="1" x14ac:dyDescent="0.25">
      <c r="A436" s="2" t="s">
        <v>119</v>
      </c>
      <c r="B436" s="2" t="s">
        <v>977</v>
      </c>
      <c r="C436" s="5" t="s">
        <v>980</v>
      </c>
      <c r="D436" s="2" t="s">
        <v>981</v>
      </c>
    </row>
    <row r="437" spans="1:4" ht="12.95" customHeight="1" x14ac:dyDescent="0.25">
      <c r="A437" s="2" t="s">
        <v>119</v>
      </c>
      <c r="B437" s="2" t="s">
        <v>977</v>
      </c>
      <c r="C437" s="5" t="s">
        <v>982</v>
      </c>
      <c r="D437" s="2" t="s">
        <v>983</v>
      </c>
    </row>
    <row r="438" spans="1:4" ht="12.95" customHeight="1" x14ac:dyDescent="0.25">
      <c r="A438" s="2" t="s">
        <v>119</v>
      </c>
      <c r="B438" s="2" t="s">
        <v>977</v>
      </c>
      <c r="C438" s="5" t="s">
        <v>984</v>
      </c>
      <c r="D438" s="2" t="s">
        <v>1146</v>
      </c>
    </row>
    <row r="439" spans="1:4" ht="12.95" customHeight="1" x14ac:dyDescent="0.25">
      <c r="A439" s="2" t="s">
        <v>119</v>
      </c>
      <c r="B439" s="2" t="s">
        <v>977</v>
      </c>
      <c r="C439" s="5" t="s">
        <v>986</v>
      </c>
      <c r="D439" s="2" t="s">
        <v>1147</v>
      </c>
    </row>
    <row r="440" spans="1:4" ht="12.95" customHeight="1" x14ac:dyDescent="0.25">
      <c r="A440" s="2" t="s">
        <v>119</v>
      </c>
      <c r="B440" s="2" t="s">
        <v>977</v>
      </c>
      <c r="C440" s="5" t="s">
        <v>988</v>
      </c>
      <c r="D440" s="2" t="s">
        <v>1148</v>
      </c>
    </row>
    <row r="441" spans="1:4" ht="12.95" customHeight="1" x14ac:dyDescent="0.25">
      <c r="A441" s="2" t="s">
        <v>119</v>
      </c>
      <c r="B441" s="2" t="s">
        <v>977</v>
      </c>
      <c r="C441" s="5" t="s">
        <v>990</v>
      </c>
      <c r="D441" s="2" t="s">
        <v>1149</v>
      </c>
    </row>
    <row r="442" spans="1:4" ht="12.95" customHeight="1" x14ac:dyDescent="0.25">
      <c r="A442" s="2" t="s">
        <v>119</v>
      </c>
      <c r="B442" s="2" t="s">
        <v>977</v>
      </c>
      <c r="C442" s="5" t="s">
        <v>992</v>
      </c>
      <c r="D442" s="2" t="s">
        <v>1150</v>
      </c>
    </row>
    <row r="443" spans="1:4" ht="12.95" customHeight="1" x14ac:dyDescent="0.25">
      <c r="A443" s="2" t="s">
        <v>119</v>
      </c>
      <c r="B443" s="2" t="s">
        <v>977</v>
      </c>
      <c r="C443" s="5" t="s">
        <v>994</v>
      </c>
      <c r="D443" s="2" t="s">
        <v>1151</v>
      </c>
    </row>
    <row r="444" spans="1:4" ht="12.95" customHeight="1" x14ac:dyDescent="0.25">
      <c r="A444" s="2" t="s">
        <v>119</v>
      </c>
      <c r="B444" s="2" t="s">
        <v>977</v>
      </c>
      <c r="C444" s="5" t="s">
        <v>1003</v>
      </c>
      <c r="D444" s="2" t="s">
        <v>1152</v>
      </c>
    </row>
    <row r="445" spans="1:4" ht="12.95" customHeight="1" x14ac:dyDescent="0.25">
      <c r="A445" s="2" t="s">
        <v>119</v>
      </c>
      <c r="B445" s="2" t="s">
        <v>977</v>
      </c>
      <c r="C445" s="5" t="s">
        <v>1015</v>
      </c>
      <c r="D445" s="2" t="s">
        <v>1059</v>
      </c>
    </row>
    <row r="446" spans="1:4" ht="12.95" customHeight="1" x14ac:dyDescent="0.25">
      <c r="A446" s="2" t="s">
        <v>121</v>
      </c>
      <c r="B446" s="2" t="s">
        <v>977</v>
      </c>
      <c r="C446" s="5" t="s">
        <v>996</v>
      </c>
      <c r="D446" s="2" t="s">
        <v>997</v>
      </c>
    </row>
    <row r="447" spans="1:4" ht="12.95" customHeight="1" x14ac:dyDescent="0.25">
      <c r="A447" s="2" t="s">
        <v>121</v>
      </c>
      <c r="B447" s="2" t="s">
        <v>977</v>
      </c>
      <c r="C447" s="5" t="s">
        <v>978</v>
      </c>
      <c r="D447" s="2" t="s">
        <v>979</v>
      </c>
    </row>
    <row r="448" spans="1:4" ht="12.95" customHeight="1" x14ac:dyDescent="0.25">
      <c r="A448" s="2" t="s">
        <v>121</v>
      </c>
      <c r="B448" s="2" t="s">
        <v>977</v>
      </c>
      <c r="C448" s="5" t="s">
        <v>980</v>
      </c>
      <c r="D448" s="2" t="s">
        <v>981</v>
      </c>
    </row>
    <row r="449" spans="1:4" ht="12.95" customHeight="1" x14ac:dyDescent="0.25">
      <c r="A449" s="2" t="s">
        <v>121</v>
      </c>
      <c r="B449" s="2" t="s">
        <v>977</v>
      </c>
      <c r="C449" s="5" t="s">
        <v>982</v>
      </c>
      <c r="D449" s="2" t="s">
        <v>983</v>
      </c>
    </row>
    <row r="450" spans="1:4" ht="12.95" customHeight="1" x14ac:dyDescent="0.25">
      <c r="A450" s="2" t="s">
        <v>121</v>
      </c>
      <c r="B450" s="2" t="s">
        <v>977</v>
      </c>
      <c r="C450" s="5" t="s">
        <v>984</v>
      </c>
      <c r="D450" s="2" t="s">
        <v>1146</v>
      </c>
    </row>
    <row r="451" spans="1:4" ht="12.95" customHeight="1" x14ac:dyDescent="0.25">
      <c r="A451" s="2" t="s">
        <v>121</v>
      </c>
      <c r="B451" s="2" t="s">
        <v>977</v>
      </c>
      <c r="C451" s="5" t="s">
        <v>986</v>
      </c>
      <c r="D451" s="2" t="s">
        <v>1147</v>
      </c>
    </row>
    <row r="452" spans="1:4" ht="12.95" customHeight="1" x14ac:dyDescent="0.25">
      <c r="A452" s="2" t="s">
        <v>121</v>
      </c>
      <c r="B452" s="2" t="s">
        <v>977</v>
      </c>
      <c r="C452" s="5" t="s">
        <v>988</v>
      </c>
      <c r="D452" s="2" t="s">
        <v>1148</v>
      </c>
    </row>
    <row r="453" spans="1:4" ht="12.95" customHeight="1" x14ac:dyDescent="0.25">
      <c r="A453" s="2" t="s">
        <v>121</v>
      </c>
      <c r="B453" s="2" t="s">
        <v>977</v>
      </c>
      <c r="C453" s="5" t="s">
        <v>990</v>
      </c>
      <c r="D453" s="2" t="s">
        <v>1149</v>
      </c>
    </row>
    <row r="454" spans="1:4" ht="12.95" customHeight="1" x14ac:dyDescent="0.25">
      <c r="A454" s="2" t="s">
        <v>121</v>
      </c>
      <c r="B454" s="2" t="s">
        <v>977</v>
      </c>
      <c r="C454" s="5" t="s">
        <v>992</v>
      </c>
      <c r="D454" s="2" t="s">
        <v>1150</v>
      </c>
    </row>
    <row r="455" spans="1:4" ht="12.95" customHeight="1" x14ac:dyDescent="0.25">
      <c r="A455" s="2" t="s">
        <v>121</v>
      </c>
      <c r="B455" s="2" t="s">
        <v>977</v>
      </c>
      <c r="C455" s="5" t="s">
        <v>994</v>
      </c>
      <c r="D455" s="2" t="s">
        <v>1151</v>
      </c>
    </row>
    <row r="456" spans="1:4" ht="12.95" customHeight="1" x14ac:dyDescent="0.25">
      <c r="A456" s="2" t="s">
        <v>121</v>
      </c>
      <c r="B456" s="2" t="s">
        <v>977</v>
      </c>
      <c r="C456" s="5" t="s">
        <v>1003</v>
      </c>
      <c r="D456" s="2" t="s">
        <v>1152</v>
      </c>
    </row>
    <row r="457" spans="1:4" ht="12.95" customHeight="1" x14ac:dyDescent="0.25">
      <c r="A457" s="2" t="s">
        <v>121</v>
      </c>
      <c r="B457" s="2" t="s">
        <v>977</v>
      </c>
      <c r="C457" s="5" t="s">
        <v>1015</v>
      </c>
      <c r="D457" s="2" t="s">
        <v>1059</v>
      </c>
    </row>
    <row r="458" spans="1:4" ht="12.95" customHeight="1" x14ac:dyDescent="0.25">
      <c r="A458" s="2" t="s">
        <v>123</v>
      </c>
      <c r="B458" s="2" t="s">
        <v>977</v>
      </c>
      <c r="C458" s="5" t="s">
        <v>996</v>
      </c>
      <c r="D458" s="2" t="s">
        <v>997</v>
      </c>
    </row>
    <row r="459" spans="1:4" ht="12.95" customHeight="1" x14ac:dyDescent="0.25">
      <c r="A459" s="2" t="s">
        <v>123</v>
      </c>
      <c r="B459" s="2" t="s">
        <v>977</v>
      </c>
      <c r="C459" s="5" t="s">
        <v>978</v>
      </c>
      <c r="D459" s="2" t="s">
        <v>979</v>
      </c>
    </row>
    <row r="460" spans="1:4" ht="12.95" customHeight="1" x14ac:dyDescent="0.25">
      <c r="A460" s="2" t="s">
        <v>123</v>
      </c>
      <c r="B460" s="2" t="s">
        <v>977</v>
      </c>
      <c r="C460" s="5" t="s">
        <v>980</v>
      </c>
      <c r="D460" s="2" t="s">
        <v>981</v>
      </c>
    </row>
    <row r="461" spans="1:4" ht="12.95" customHeight="1" x14ac:dyDescent="0.25">
      <c r="A461" s="2" t="s">
        <v>123</v>
      </c>
      <c r="B461" s="2" t="s">
        <v>977</v>
      </c>
      <c r="C461" s="5" t="s">
        <v>982</v>
      </c>
      <c r="D461" s="2" t="s">
        <v>983</v>
      </c>
    </row>
    <row r="462" spans="1:4" ht="12.95" customHeight="1" x14ac:dyDescent="0.25">
      <c r="A462" s="2" t="s">
        <v>123</v>
      </c>
      <c r="B462" s="2" t="s">
        <v>977</v>
      </c>
      <c r="C462" s="5" t="s">
        <v>984</v>
      </c>
      <c r="D462" s="2" t="s">
        <v>1146</v>
      </c>
    </row>
    <row r="463" spans="1:4" ht="12.95" customHeight="1" x14ac:dyDescent="0.25">
      <c r="A463" s="2" t="s">
        <v>123</v>
      </c>
      <c r="B463" s="2" t="s">
        <v>977</v>
      </c>
      <c r="C463" s="5" t="s">
        <v>986</v>
      </c>
      <c r="D463" s="2" t="s">
        <v>1147</v>
      </c>
    </row>
    <row r="464" spans="1:4" ht="12.95" customHeight="1" x14ac:dyDescent="0.25">
      <c r="A464" s="2" t="s">
        <v>123</v>
      </c>
      <c r="B464" s="2" t="s">
        <v>977</v>
      </c>
      <c r="C464" s="5" t="s">
        <v>988</v>
      </c>
      <c r="D464" s="2" t="s">
        <v>1148</v>
      </c>
    </row>
    <row r="465" spans="1:4" ht="12.95" customHeight="1" x14ac:dyDescent="0.25">
      <c r="A465" s="2" t="s">
        <v>123</v>
      </c>
      <c r="B465" s="2" t="s">
        <v>977</v>
      </c>
      <c r="C465" s="5" t="s">
        <v>990</v>
      </c>
      <c r="D465" s="2" t="s">
        <v>1149</v>
      </c>
    </row>
    <row r="466" spans="1:4" ht="12.95" customHeight="1" x14ac:dyDescent="0.25">
      <c r="A466" s="2" t="s">
        <v>123</v>
      </c>
      <c r="B466" s="2" t="s">
        <v>977</v>
      </c>
      <c r="C466" s="5" t="s">
        <v>992</v>
      </c>
      <c r="D466" s="2" t="s">
        <v>1150</v>
      </c>
    </row>
    <row r="467" spans="1:4" ht="12.95" customHeight="1" x14ac:dyDescent="0.25">
      <c r="A467" s="2" t="s">
        <v>123</v>
      </c>
      <c r="B467" s="2" t="s">
        <v>977</v>
      </c>
      <c r="C467" s="5" t="s">
        <v>994</v>
      </c>
      <c r="D467" s="2" t="s">
        <v>1151</v>
      </c>
    </row>
    <row r="468" spans="1:4" ht="12.95" customHeight="1" x14ac:dyDescent="0.25">
      <c r="A468" s="2" t="s">
        <v>123</v>
      </c>
      <c r="B468" s="2" t="s">
        <v>977</v>
      </c>
      <c r="C468" s="5" t="s">
        <v>1003</v>
      </c>
      <c r="D468" s="2" t="s">
        <v>1152</v>
      </c>
    </row>
    <row r="469" spans="1:4" ht="12.95" customHeight="1" x14ac:dyDescent="0.25">
      <c r="A469" s="2" t="s">
        <v>123</v>
      </c>
      <c r="B469" s="2" t="s">
        <v>977</v>
      </c>
      <c r="C469" s="5" t="s">
        <v>1015</v>
      </c>
      <c r="D469" s="2" t="s">
        <v>1059</v>
      </c>
    </row>
    <row r="470" spans="1:4" ht="12.95" customHeight="1" x14ac:dyDescent="0.25">
      <c r="A470" s="2" t="s">
        <v>125</v>
      </c>
      <c r="B470" s="2" t="s">
        <v>977</v>
      </c>
      <c r="C470" s="5" t="s">
        <v>996</v>
      </c>
      <c r="D470" s="2" t="s">
        <v>997</v>
      </c>
    </row>
    <row r="471" spans="1:4" ht="12.95" customHeight="1" x14ac:dyDescent="0.25">
      <c r="A471" s="2" t="s">
        <v>125</v>
      </c>
      <c r="B471" s="2" t="s">
        <v>977</v>
      </c>
      <c r="C471" s="5" t="s">
        <v>978</v>
      </c>
      <c r="D471" s="2" t="s">
        <v>979</v>
      </c>
    </row>
    <row r="472" spans="1:4" ht="12.95" customHeight="1" x14ac:dyDescent="0.25">
      <c r="A472" s="2" t="s">
        <v>125</v>
      </c>
      <c r="B472" s="2" t="s">
        <v>977</v>
      </c>
      <c r="C472" s="5" t="s">
        <v>980</v>
      </c>
      <c r="D472" s="2" t="s">
        <v>981</v>
      </c>
    </row>
    <row r="473" spans="1:4" ht="12.95" customHeight="1" x14ac:dyDescent="0.25">
      <c r="A473" s="2" t="s">
        <v>125</v>
      </c>
      <c r="B473" s="2" t="s">
        <v>977</v>
      </c>
      <c r="C473" s="5" t="s">
        <v>982</v>
      </c>
      <c r="D473" s="2" t="s">
        <v>983</v>
      </c>
    </row>
    <row r="474" spans="1:4" ht="12.95" customHeight="1" x14ac:dyDescent="0.25">
      <c r="A474" s="2" t="s">
        <v>125</v>
      </c>
      <c r="B474" s="2" t="s">
        <v>977</v>
      </c>
      <c r="C474" s="5" t="s">
        <v>984</v>
      </c>
      <c r="D474" s="2" t="s">
        <v>1146</v>
      </c>
    </row>
    <row r="475" spans="1:4" ht="12.95" customHeight="1" x14ac:dyDescent="0.25">
      <c r="A475" s="2" t="s">
        <v>125</v>
      </c>
      <c r="B475" s="2" t="s">
        <v>977</v>
      </c>
      <c r="C475" s="5" t="s">
        <v>986</v>
      </c>
      <c r="D475" s="2" t="s">
        <v>1147</v>
      </c>
    </row>
    <row r="476" spans="1:4" ht="12.95" customHeight="1" x14ac:dyDescent="0.25">
      <c r="A476" s="2" t="s">
        <v>125</v>
      </c>
      <c r="B476" s="2" t="s">
        <v>977</v>
      </c>
      <c r="C476" s="5" t="s">
        <v>988</v>
      </c>
      <c r="D476" s="2" t="s">
        <v>1148</v>
      </c>
    </row>
    <row r="477" spans="1:4" ht="12.95" customHeight="1" x14ac:dyDescent="0.25">
      <c r="A477" s="2" t="s">
        <v>125</v>
      </c>
      <c r="B477" s="2" t="s">
        <v>977</v>
      </c>
      <c r="C477" s="5" t="s">
        <v>990</v>
      </c>
      <c r="D477" s="2" t="s">
        <v>1149</v>
      </c>
    </row>
    <row r="478" spans="1:4" ht="12.95" customHeight="1" x14ac:dyDescent="0.25">
      <c r="A478" s="2" t="s">
        <v>125</v>
      </c>
      <c r="B478" s="2" t="s">
        <v>977</v>
      </c>
      <c r="C478" s="5" t="s">
        <v>992</v>
      </c>
      <c r="D478" s="2" t="s">
        <v>1150</v>
      </c>
    </row>
    <row r="479" spans="1:4" ht="12.95" customHeight="1" x14ac:dyDescent="0.25">
      <c r="A479" s="2" t="s">
        <v>125</v>
      </c>
      <c r="B479" s="2" t="s">
        <v>977</v>
      </c>
      <c r="C479" s="5" t="s">
        <v>994</v>
      </c>
      <c r="D479" s="2" t="s">
        <v>1151</v>
      </c>
    </row>
    <row r="480" spans="1:4" ht="12.95" customHeight="1" x14ac:dyDescent="0.25">
      <c r="A480" s="2" t="s">
        <v>125</v>
      </c>
      <c r="B480" s="2" t="s">
        <v>977</v>
      </c>
      <c r="C480" s="5" t="s">
        <v>1003</v>
      </c>
      <c r="D480" s="2" t="s">
        <v>1152</v>
      </c>
    </row>
    <row r="481" spans="1:4" ht="12.95" customHeight="1" x14ac:dyDescent="0.25">
      <c r="A481" s="2" t="s">
        <v>125</v>
      </c>
      <c r="B481" s="2" t="s">
        <v>977</v>
      </c>
      <c r="C481" s="5" t="s">
        <v>1015</v>
      </c>
      <c r="D481" s="2" t="s">
        <v>1059</v>
      </c>
    </row>
    <row r="482" spans="1:4" ht="12.95" customHeight="1" x14ac:dyDescent="0.25">
      <c r="A482" s="2" t="s">
        <v>127</v>
      </c>
      <c r="B482" s="2" t="s">
        <v>977</v>
      </c>
      <c r="C482" s="5" t="s">
        <v>996</v>
      </c>
      <c r="D482" s="2" t="s">
        <v>997</v>
      </c>
    </row>
    <row r="483" spans="1:4" ht="12.95" customHeight="1" x14ac:dyDescent="0.25">
      <c r="A483" s="2" t="s">
        <v>127</v>
      </c>
      <c r="B483" s="2" t="s">
        <v>977</v>
      </c>
      <c r="C483" s="5" t="s">
        <v>978</v>
      </c>
      <c r="D483" s="2" t="s">
        <v>979</v>
      </c>
    </row>
    <row r="484" spans="1:4" ht="12.95" customHeight="1" x14ac:dyDescent="0.25">
      <c r="A484" s="2" t="s">
        <v>127</v>
      </c>
      <c r="B484" s="2" t="s">
        <v>977</v>
      </c>
      <c r="C484" s="5" t="s">
        <v>980</v>
      </c>
      <c r="D484" s="2" t="s">
        <v>981</v>
      </c>
    </row>
    <row r="485" spans="1:4" ht="12.95" customHeight="1" x14ac:dyDescent="0.25">
      <c r="A485" s="2" t="s">
        <v>127</v>
      </c>
      <c r="B485" s="2" t="s">
        <v>977</v>
      </c>
      <c r="C485" s="5" t="s">
        <v>982</v>
      </c>
      <c r="D485" s="2" t="s">
        <v>983</v>
      </c>
    </row>
    <row r="486" spans="1:4" ht="12.95" customHeight="1" x14ac:dyDescent="0.25">
      <c r="A486" s="2" t="s">
        <v>127</v>
      </c>
      <c r="B486" s="2" t="s">
        <v>977</v>
      </c>
      <c r="C486" s="5" t="s">
        <v>984</v>
      </c>
      <c r="D486" s="2" t="s">
        <v>1146</v>
      </c>
    </row>
    <row r="487" spans="1:4" ht="12.95" customHeight="1" x14ac:dyDescent="0.25">
      <c r="A487" s="2" t="s">
        <v>127</v>
      </c>
      <c r="B487" s="2" t="s">
        <v>977</v>
      </c>
      <c r="C487" s="5" t="s">
        <v>986</v>
      </c>
      <c r="D487" s="2" t="s">
        <v>1147</v>
      </c>
    </row>
    <row r="488" spans="1:4" ht="12.95" customHeight="1" x14ac:dyDescent="0.25">
      <c r="A488" s="2" t="s">
        <v>127</v>
      </c>
      <c r="B488" s="2" t="s">
        <v>977</v>
      </c>
      <c r="C488" s="5" t="s">
        <v>988</v>
      </c>
      <c r="D488" s="2" t="s">
        <v>1148</v>
      </c>
    </row>
    <row r="489" spans="1:4" ht="12.95" customHeight="1" x14ac:dyDescent="0.25">
      <c r="A489" s="2" t="s">
        <v>127</v>
      </c>
      <c r="B489" s="2" t="s">
        <v>977</v>
      </c>
      <c r="C489" s="5" t="s">
        <v>990</v>
      </c>
      <c r="D489" s="2" t="s">
        <v>1149</v>
      </c>
    </row>
    <row r="490" spans="1:4" ht="12.95" customHeight="1" x14ac:dyDescent="0.25">
      <c r="A490" s="2" t="s">
        <v>127</v>
      </c>
      <c r="B490" s="2" t="s">
        <v>977</v>
      </c>
      <c r="C490" s="5" t="s">
        <v>992</v>
      </c>
      <c r="D490" s="2" t="s">
        <v>1150</v>
      </c>
    </row>
    <row r="491" spans="1:4" ht="12.95" customHeight="1" x14ac:dyDescent="0.25">
      <c r="A491" s="2" t="s">
        <v>127</v>
      </c>
      <c r="B491" s="2" t="s">
        <v>977</v>
      </c>
      <c r="C491" s="5" t="s">
        <v>994</v>
      </c>
      <c r="D491" s="2" t="s">
        <v>1151</v>
      </c>
    </row>
    <row r="492" spans="1:4" ht="12.95" customHeight="1" x14ac:dyDescent="0.25">
      <c r="A492" s="2" t="s">
        <v>127</v>
      </c>
      <c r="B492" s="2" t="s">
        <v>977</v>
      </c>
      <c r="C492" s="5" t="s">
        <v>1003</v>
      </c>
      <c r="D492" s="2" t="s">
        <v>1152</v>
      </c>
    </row>
    <row r="493" spans="1:4" ht="12.95" customHeight="1" x14ac:dyDescent="0.25">
      <c r="A493" s="2" t="s">
        <v>127</v>
      </c>
      <c r="B493" s="2" t="s">
        <v>977</v>
      </c>
      <c r="C493" s="5" t="s">
        <v>1015</v>
      </c>
      <c r="D493" s="2" t="s">
        <v>1059</v>
      </c>
    </row>
    <row r="494" spans="1:4" ht="12.95" customHeight="1" x14ac:dyDescent="0.25">
      <c r="A494" s="2" t="s">
        <v>129</v>
      </c>
      <c r="B494" s="2" t="s">
        <v>977</v>
      </c>
      <c r="C494" s="5" t="s">
        <v>996</v>
      </c>
      <c r="D494" s="2" t="s">
        <v>997</v>
      </c>
    </row>
    <row r="495" spans="1:4" ht="12.95" customHeight="1" x14ac:dyDescent="0.25">
      <c r="A495" s="2" t="s">
        <v>129</v>
      </c>
      <c r="B495" s="2" t="s">
        <v>977</v>
      </c>
      <c r="C495" s="5" t="s">
        <v>978</v>
      </c>
      <c r="D495" s="2" t="s">
        <v>979</v>
      </c>
    </row>
    <row r="496" spans="1:4" ht="12.95" customHeight="1" x14ac:dyDescent="0.25">
      <c r="A496" s="2" t="s">
        <v>129</v>
      </c>
      <c r="B496" s="2" t="s">
        <v>977</v>
      </c>
      <c r="C496" s="5" t="s">
        <v>980</v>
      </c>
      <c r="D496" s="2" t="s">
        <v>981</v>
      </c>
    </row>
    <row r="497" spans="1:4" ht="12.95" customHeight="1" x14ac:dyDescent="0.25">
      <c r="A497" s="2" t="s">
        <v>129</v>
      </c>
      <c r="B497" s="2" t="s">
        <v>977</v>
      </c>
      <c r="C497" s="5" t="s">
        <v>982</v>
      </c>
      <c r="D497" s="2" t="s">
        <v>983</v>
      </c>
    </row>
    <row r="498" spans="1:4" ht="12.95" customHeight="1" x14ac:dyDescent="0.25">
      <c r="A498" s="2" t="s">
        <v>129</v>
      </c>
      <c r="B498" s="2" t="s">
        <v>977</v>
      </c>
      <c r="C498" s="5" t="s">
        <v>984</v>
      </c>
      <c r="D498" s="2" t="s">
        <v>1146</v>
      </c>
    </row>
    <row r="499" spans="1:4" ht="12.95" customHeight="1" x14ac:dyDescent="0.25">
      <c r="A499" s="2" t="s">
        <v>129</v>
      </c>
      <c r="B499" s="2" t="s">
        <v>977</v>
      </c>
      <c r="C499" s="5" t="s">
        <v>986</v>
      </c>
      <c r="D499" s="2" t="s">
        <v>1147</v>
      </c>
    </row>
    <row r="500" spans="1:4" ht="12.95" customHeight="1" x14ac:dyDescent="0.25">
      <c r="A500" s="2" t="s">
        <v>129</v>
      </c>
      <c r="B500" s="2" t="s">
        <v>977</v>
      </c>
      <c r="C500" s="5" t="s">
        <v>988</v>
      </c>
      <c r="D500" s="2" t="s">
        <v>1148</v>
      </c>
    </row>
    <row r="501" spans="1:4" ht="12.95" customHeight="1" x14ac:dyDescent="0.25">
      <c r="A501" s="2" t="s">
        <v>129</v>
      </c>
      <c r="B501" s="2" t="s">
        <v>977</v>
      </c>
      <c r="C501" s="5" t="s">
        <v>990</v>
      </c>
      <c r="D501" s="2" t="s">
        <v>1149</v>
      </c>
    </row>
    <row r="502" spans="1:4" ht="12.95" customHeight="1" x14ac:dyDescent="0.25">
      <c r="A502" s="2" t="s">
        <v>129</v>
      </c>
      <c r="B502" s="2" t="s">
        <v>977</v>
      </c>
      <c r="C502" s="5" t="s">
        <v>992</v>
      </c>
      <c r="D502" s="2" t="s">
        <v>1150</v>
      </c>
    </row>
    <row r="503" spans="1:4" ht="12.95" customHeight="1" x14ac:dyDescent="0.25">
      <c r="A503" s="2" t="s">
        <v>129</v>
      </c>
      <c r="B503" s="2" t="s">
        <v>977</v>
      </c>
      <c r="C503" s="5" t="s">
        <v>994</v>
      </c>
      <c r="D503" s="2" t="s">
        <v>1151</v>
      </c>
    </row>
    <row r="504" spans="1:4" ht="12.95" customHeight="1" x14ac:dyDescent="0.25">
      <c r="A504" s="2" t="s">
        <v>129</v>
      </c>
      <c r="B504" s="2" t="s">
        <v>977</v>
      </c>
      <c r="C504" s="5" t="s">
        <v>1003</v>
      </c>
      <c r="D504" s="2" t="s">
        <v>1152</v>
      </c>
    </row>
    <row r="505" spans="1:4" ht="12.95" customHeight="1" x14ac:dyDescent="0.25">
      <c r="A505" s="2" t="s">
        <v>129</v>
      </c>
      <c r="B505" s="2" t="s">
        <v>977</v>
      </c>
      <c r="C505" s="5" t="s">
        <v>1015</v>
      </c>
      <c r="D505" s="2" t="s">
        <v>1059</v>
      </c>
    </row>
    <row r="506" spans="1:4" ht="12.95" customHeight="1" x14ac:dyDescent="0.25">
      <c r="A506" s="2" t="s">
        <v>133</v>
      </c>
      <c r="B506" s="2" t="s">
        <v>1060</v>
      </c>
      <c r="C506" s="5" t="s">
        <v>982</v>
      </c>
      <c r="D506" s="2" t="s">
        <v>983</v>
      </c>
    </row>
    <row r="507" spans="1:4" ht="12.95" customHeight="1" x14ac:dyDescent="0.25">
      <c r="A507" s="2" t="s">
        <v>135</v>
      </c>
      <c r="B507" s="2" t="s">
        <v>977</v>
      </c>
      <c r="C507" s="5" t="s">
        <v>996</v>
      </c>
      <c r="D507" s="2" t="s">
        <v>997</v>
      </c>
    </row>
    <row r="508" spans="1:4" ht="12.95" customHeight="1" x14ac:dyDescent="0.25">
      <c r="A508" s="2" t="s">
        <v>135</v>
      </c>
      <c r="B508" s="2" t="s">
        <v>977</v>
      </c>
      <c r="C508" s="5" t="s">
        <v>978</v>
      </c>
      <c r="D508" s="2" t="s">
        <v>1047</v>
      </c>
    </row>
    <row r="509" spans="1:4" ht="12.95" customHeight="1" x14ac:dyDescent="0.25">
      <c r="A509" s="2" t="s">
        <v>135</v>
      </c>
      <c r="B509" s="2" t="s">
        <v>977</v>
      </c>
      <c r="C509" s="5" t="s">
        <v>980</v>
      </c>
      <c r="D509" s="2" t="s">
        <v>1041</v>
      </c>
    </row>
    <row r="510" spans="1:4" ht="12.95" customHeight="1" x14ac:dyDescent="0.25">
      <c r="A510" s="2" t="s">
        <v>135</v>
      </c>
      <c r="B510" s="2" t="s">
        <v>977</v>
      </c>
      <c r="C510" s="5" t="s">
        <v>982</v>
      </c>
      <c r="D510" s="2" t="s">
        <v>983</v>
      </c>
    </row>
    <row r="511" spans="1:4" ht="12.95" customHeight="1" x14ac:dyDescent="0.25">
      <c r="A511" s="2" t="s">
        <v>138</v>
      </c>
      <c r="B511" s="2" t="s">
        <v>977</v>
      </c>
      <c r="C511" s="5" t="s">
        <v>984</v>
      </c>
      <c r="D511" s="2" t="s">
        <v>1061</v>
      </c>
    </row>
    <row r="512" spans="1:4" ht="12.95" customHeight="1" x14ac:dyDescent="0.25">
      <c r="A512" s="2" t="s">
        <v>138</v>
      </c>
      <c r="B512" s="2" t="s">
        <v>977</v>
      </c>
      <c r="C512" s="5" t="s">
        <v>986</v>
      </c>
      <c r="D512" s="2" t="s">
        <v>1062</v>
      </c>
    </row>
    <row r="513" spans="1:4" ht="12.95" customHeight="1" x14ac:dyDescent="0.25">
      <c r="A513" s="2" t="s">
        <v>140</v>
      </c>
      <c r="B513" s="2" t="s">
        <v>977</v>
      </c>
      <c r="C513" s="5" t="s">
        <v>996</v>
      </c>
      <c r="D513" s="2" t="s">
        <v>997</v>
      </c>
    </row>
    <row r="514" spans="1:4" ht="12.95" customHeight="1" x14ac:dyDescent="0.25">
      <c r="A514" s="2" t="s">
        <v>140</v>
      </c>
      <c r="B514" s="2" t="s">
        <v>977</v>
      </c>
      <c r="C514" s="5" t="s">
        <v>978</v>
      </c>
      <c r="D514" s="2" t="s">
        <v>1047</v>
      </c>
    </row>
    <row r="515" spans="1:4" ht="12.95" customHeight="1" x14ac:dyDescent="0.25">
      <c r="A515" s="2" t="s">
        <v>140</v>
      </c>
      <c r="B515" s="2" t="s">
        <v>977</v>
      </c>
      <c r="C515" s="5" t="s">
        <v>980</v>
      </c>
      <c r="D515" s="2" t="s">
        <v>1041</v>
      </c>
    </row>
    <row r="516" spans="1:4" ht="12.95" customHeight="1" x14ac:dyDescent="0.25">
      <c r="A516" s="2" t="s">
        <v>140</v>
      </c>
      <c r="B516" s="2" t="s">
        <v>977</v>
      </c>
      <c r="C516" s="5" t="s">
        <v>984</v>
      </c>
      <c r="D516" s="2" t="s">
        <v>1061</v>
      </c>
    </row>
    <row r="517" spans="1:4" ht="12.95" customHeight="1" x14ac:dyDescent="0.25">
      <c r="A517" s="2" t="s">
        <v>140</v>
      </c>
      <c r="B517" s="2" t="s">
        <v>977</v>
      </c>
      <c r="C517" s="5" t="s">
        <v>986</v>
      </c>
      <c r="D517" s="2" t="s">
        <v>1153</v>
      </c>
    </row>
    <row r="518" spans="1:4" ht="12.95" customHeight="1" x14ac:dyDescent="0.25">
      <c r="A518" s="2" t="s">
        <v>143</v>
      </c>
      <c r="B518" s="2" t="s">
        <v>977</v>
      </c>
      <c r="C518" s="5" t="s">
        <v>978</v>
      </c>
      <c r="D518" s="2" t="s">
        <v>1047</v>
      </c>
    </row>
    <row r="519" spans="1:4" ht="12.95" customHeight="1" x14ac:dyDescent="0.25">
      <c r="A519" s="2" t="s">
        <v>143</v>
      </c>
      <c r="B519" s="2" t="s">
        <v>977</v>
      </c>
      <c r="C519" s="5" t="s">
        <v>980</v>
      </c>
      <c r="D519" s="2" t="s">
        <v>1041</v>
      </c>
    </row>
    <row r="520" spans="1:4" ht="12.95" customHeight="1" x14ac:dyDescent="0.25">
      <c r="A520" s="2" t="s">
        <v>143</v>
      </c>
      <c r="B520" s="2" t="s">
        <v>977</v>
      </c>
      <c r="C520" s="5" t="s">
        <v>982</v>
      </c>
      <c r="D520" s="2" t="s">
        <v>983</v>
      </c>
    </row>
    <row r="521" spans="1:4" ht="12.95" customHeight="1" x14ac:dyDescent="0.25">
      <c r="A521" s="2" t="s">
        <v>143</v>
      </c>
      <c r="B521" s="2" t="s">
        <v>977</v>
      </c>
      <c r="C521" s="5" t="s">
        <v>984</v>
      </c>
      <c r="D521" s="2" t="s">
        <v>1061</v>
      </c>
    </row>
    <row r="522" spans="1:4" ht="12.95" customHeight="1" x14ac:dyDescent="0.25">
      <c r="A522" s="2" t="s">
        <v>143</v>
      </c>
      <c r="B522" s="2" t="s">
        <v>977</v>
      </c>
      <c r="C522" s="5" t="s">
        <v>986</v>
      </c>
      <c r="D522" s="2" t="s">
        <v>1062</v>
      </c>
    </row>
    <row r="523" spans="1:4" ht="12.95" customHeight="1" x14ac:dyDescent="0.25">
      <c r="A523" s="2" t="s">
        <v>148</v>
      </c>
      <c r="B523" s="2" t="s">
        <v>977</v>
      </c>
      <c r="C523" s="5" t="s">
        <v>996</v>
      </c>
      <c r="D523" s="2" t="s">
        <v>997</v>
      </c>
    </row>
    <row r="524" spans="1:4" ht="12.95" customHeight="1" x14ac:dyDescent="0.25">
      <c r="A524" s="2" t="s">
        <v>148</v>
      </c>
      <c r="B524" s="2" t="s">
        <v>977</v>
      </c>
      <c r="C524" s="5" t="s">
        <v>982</v>
      </c>
      <c r="D524" s="2" t="s">
        <v>983</v>
      </c>
    </row>
    <row r="525" spans="1:4" ht="12.95" customHeight="1" x14ac:dyDescent="0.25">
      <c r="A525" s="2" t="s">
        <v>150</v>
      </c>
      <c r="B525" s="2" t="s">
        <v>977</v>
      </c>
      <c r="C525" s="5" t="s">
        <v>996</v>
      </c>
      <c r="D525" s="2" t="s">
        <v>997</v>
      </c>
    </row>
    <row r="526" spans="1:4" ht="12.95" customHeight="1" x14ac:dyDescent="0.25">
      <c r="A526" s="2" t="s">
        <v>150</v>
      </c>
      <c r="B526" s="2" t="s">
        <v>977</v>
      </c>
      <c r="C526" s="5" t="s">
        <v>982</v>
      </c>
      <c r="D526" s="2" t="s">
        <v>983</v>
      </c>
    </row>
    <row r="527" spans="1:4" ht="12.95" customHeight="1" x14ac:dyDescent="0.25">
      <c r="A527" s="2" t="s">
        <v>152</v>
      </c>
      <c r="B527" s="2" t="s">
        <v>977</v>
      </c>
      <c r="C527" s="5" t="s">
        <v>984</v>
      </c>
      <c r="D527" s="2" t="s">
        <v>1061</v>
      </c>
    </row>
    <row r="528" spans="1:4" ht="12.95" customHeight="1" x14ac:dyDescent="0.25">
      <c r="A528" s="2" t="s">
        <v>152</v>
      </c>
      <c r="B528" s="2" t="s">
        <v>977</v>
      </c>
      <c r="C528" s="5" t="s">
        <v>986</v>
      </c>
      <c r="D528" s="2" t="s">
        <v>1062</v>
      </c>
    </row>
    <row r="529" spans="1:4" ht="12.95" customHeight="1" x14ac:dyDescent="0.25">
      <c r="A529" s="2" t="s">
        <v>154</v>
      </c>
      <c r="B529" s="2" t="s">
        <v>1154</v>
      </c>
      <c r="C529" s="5" t="s">
        <v>996</v>
      </c>
      <c r="D529" s="2" t="s">
        <v>997</v>
      </c>
    </row>
    <row r="530" spans="1:4" ht="12.95" customHeight="1" x14ac:dyDescent="0.25">
      <c r="A530" s="2" t="s">
        <v>154</v>
      </c>
      <c r="B530" s="2" t="s">
        <v>1154</v>
      </c>
      <c r="C530" s="5" t="s">
        <v>978</v>
      </c>
      <c r="D530" s="2" t="s">
        <v>979</v>
      </c>
    </row>
    <row r="531" spans="1:4" ht="12.95" customHeight="1" x14ac:dyDescent="0.25">
      <c r="A531" s="2" t="s">
        <v>154</v>
      </c>
      <c r="B531" s="2" t="s">
        <v>1154</v>
      </c>
      <c r="C531" s="5" t="s">
        <v>980</v>
      </c>
      <c r="D531" s="2" t="s">
        <v>1041</v>
      </c>
    </row>
    <row r="532" spans="1:4" ht="12.95" customHeight="1" x14ac:dyDescent="0.25">
      <c r="A532" s="2" t="s">
        <v>154</v>
      </c>
      <c r="B532" s="2" t="s">
        <v>1154</v>
      </c>
      <c r="C532" s="5" t="s">
        <v>982</v>
      </c>
      <c r="D532" s="2" t="s">
        <v>983</v>
      </c>
    </row>
    <row r="533" spans="1:4" ht="12.95" customHeight="1" x14ac:dyDescent="0.25">
      <c r="A533" s="2" t="s">
        <v>154</v>
      </c>
      <c r="B533" s="2" t="s">
        <v>1154</v>
      </c>
      <c r="C533" s="5" t="s">
        <v>984</v>
      </c>
      <c r="D533" s="2" t="s">
        <v>1155</v>
      </c>
    </row>
    <row r="534" spans="1:4" ht="12.95" customHeight="1" x14ac:dyDescent="0.25">
      <c r="A534" s="2" t="s">
        <v>154</v>
      </c>
      <c r="B534" s="2" t="s">
        <v>1154</v>
      </c>
      <c r="C534" s="5" t="s">
        <v>986</v>
      </c>
      <c r="D534" s="2" t="s">
        <v>1156</v>
      </c>
    </row>
    <row r="535" spans="1:4" ht="12.95" customHeight="1" x14ac:dyDescent="0.25">
      <c r="A535" s="2" t="s">
        <v>154</v>
      </c>
      <c r="B535" s="2" t="s">
        <v>1154</v>
      </c>
      <c r="C535" s="5" t="s">
        <v>988</v>
      </c>
      <c r="D535" s="2" t="s">
        <v>1157</v>
      </c>
    </row>
    <row r="536" spans="1:4" ht="12.95" customHeight="1" x14ac:dyDescent="0.25">
      <c r="A536" s="2" t="s">
        <v>157</v>
      </c>
      <c r="B536" s="2" t="s">
        <v>977</v>
      </c>
      <c r="C536" s="5" t="s">
        <v>996</v>
      </c>
      <c r="D536" s="2" t="s">
        <v>997</v>
      </c>
    </row>
    <row r="537" spans="1:4" ht="12.95" customHeight="1" x14ac:dyDescent="0.25">
      <c r="A537" s="2" t="s">
        <v>157</v>
      </c>
      <c r="B537" s="2" t="s">
        <v>977</v>
      </c>
      <c r="C537" s="5" t="s">
        <v>978</v>
      </c>
      <c r="D537" s="2" t="s">
        <v>979</v>
      </c>
    </row>
    <row r="538" spans="1:4" ht="12.95" customHeight="1" x14ac:dyDescent="0.25">
      <c r="A538" s="2" t="s">
        <v>157</v>
      </c>
      <c r="B538" s="2" t="s">
        <v>977</v>
      </c>
      <c r="C538" s="5" t="s">
        <v>980</v>
      </c>
      <c r="D538" s="2" t="s">
        <v>981</v>
      </c>
    </row>
    <row r="539" spans="1:4" ht="12.95" customHeight="1" x14ac:dyDescent="0.25">
      <c r="A539" s="2" t="s">
        <v>157</v>
      </c>
      <c r="B539" s="2" t="s">
        <v>977</v>
      </c>
      <c r="C539" s="5" t="s">
        <v>984</v>
      </c>
      <c r="D539" s="2" t="s">
        <v>1061</v>
      </c>
    </row>
    <row r="540" spans="1:4" ht="12.95" customHeight="1" x14ac:dyDescent="0.25">
      <c r="A540" s="2" t="s">
        <v>157</v>
      </c>
      <c r="B540" s="2" t="s">
        <v>977</v>
      </c>
      <c r="C540" s="5" t="s">
        <v>986</v>
      </c>
      <c r="D540" s="2" t="s">
        <v>1062</v>
      </c>
    </row>
    <row r="541" spans="1:4" ht="12.95" customHeight="1" x14ac:dyDescent="0.25">
      <c r="A541" s="2" t="s">
        <v>162</v>
      </c>
      <c r="B541" s="2" t="s">
        <v>1154</v>
      </c>
      <c r="C541" s="5" t="s">
        <v>982</v>
      </c>
      <c r="D541" s="2" t="s">
        <v>983</v>
      </c>
    </row>
    <row r="542" spans="1:4" ht="12.95" customHeight="1" x14ac:dyDescent="0.25">
      <c r="A542" s="2" t="s">
        <v>162</v>
      </c>
      <c r="B542" s="2" t="s">
        <v>1154</v>
      </c>
      <c r="C542" s="5" t="s">
        <v>984</v>
      </c>
      <c r="D542" s="2" t="s">
        <v>1061</v>
      </c>
    </row>
    <row r="543" spans="1:4" ht="12.95" customHeight="1" x14ac:dyDescent="0.25">
      <c r="A543" s="2" t="s">
        <v>162</v>
      </c>
      <c r="B543" s="2" t="s">
        <v>1154</v>
      </c>
      <c r="C543" s="5" t="s">
        <v>986</v>
      </c>
      <c r="D543" s="2" t="s">
        <v>1062</v>
      </c>
    </row>
    <row r="544" spans="1:4" ht="12.95" customHeight="1" x14ac:dyDescent="0.25">
      <c r="A544" s="2" t="s">
        <v>164</v>
      </c>
      <c r="B544" s="2" t="s">
        <v>1154</v>
      </c>
      <c r="C544" s="5" t="s">
        <v>996</v>
      </c>
      <c r="D544" s="2" t="s">
        <v>997</v>
      </c>
    </row>
    <row r="545" spans="1:4" ht="12.95" customHeight="1" x14ac:dyDescent="0.25">
      <c r="A545" s="2" t="s">
        <v>166</v>
      </c>
      <c r="B545" s="2" t="s">
        <v>977</v>
      </c>
      <c r="C545" s="5" t="s">
        <v>978</v>
      </c>
      <c r="D545" s="2" t="s">
        <v>979</v>
      </c>
    </row>
    <row r="546" spans="1:4" ht="12.95" customHeight="1" x14ac:dyDescent="0.25">
      <c r="A546" s="2" t="s">
        <v>166</v>
      </c>
      <c r="B546" s="2" t="s">
        <v>977</v>
      </c>
      <c r="C546" s="5" t="s">
        <v>980</v>
      </c>
      <c r="D546" s="2" t="s">
        <v>981</v>
      </c>
    </row>
    <row r="547" spans="1:4" ht="12.95" customHeight="1" x14ac:dyDescent="0.25">
      <c r="A547" s="2" t="s">
        <v>166</v>
      </c>
      <c r="B547" s="2" t="s">
        <v>977</v>
      </c>
      <c r="C547" s="5" t="s">
        <v>982</v>
      </c>
      <c r="D547" s="2" t="s">
        <v>983</v>
      </c>
    </row>
    <row r="548" spans="1:4" ht="12.95" customHeight="1" x14ac:dyDescent="0.25">
      <c r="A548" s="2" t="s">
        <v>166</v>
      </c>
      <c r="B548" s="2" t="s">
        <v>977</v>
      </c>
      <c r="C548" s="5" t="s">
        <v>984</v>
      </c>
      <c r="D548" s="2" t="s">
        <v>1158</v>
      </c>
    </row>
    <row r="549" spans="1:4" ht="12.95" customHeight="1" x14ac:dyDescent="0.25">
      <c r="A549" s="2" t="s">
        <v>166</v>
      </c>
      <c r="B549" s="2" t="s">
        <v>977</v>
      </c>
      <c r="C549" s="5" t="s">
        <v>986</v>
      </c>
      <c r="D549" s="2" t="s">
        <v>1159</v>
      </c>
    </row>
    <row r="550" spans="1:4" ht="12.95" customHeight="1" x14ac:dyDescent="0.25">
      <c r="A550" s="2" t="s">
        <v>166</v>
      </c>
      <c r="B550" s="2" t="s">
        <v>977</v>
      </c>
      <c r="C550" s="5" t="s">
        <v>988</v>
      </c>
      <c r="D550" s="2" t="s">
        <v>1160</v>
      </c>
    </row>
    <row r="551" spans="1:4" ht="12.95" customHeight="1" x14ac:dyDescent="0.25">
      <c r="A551" s="2" t="s">
        <v>166</v>
      </c>
      <c r="B551" s="2" t="s">
        <v>977</v>
      </c>
      <c r="C551" s="5" t="s">
        <v>990</v>
      </c>
      <c r="D551" s="2" t="s">
        <v>1161</v>
      </c>
    </row>
    <row r="552" spans="1:4" ht="12.95" customHeight="1" x14ac:dyDescent="0.25">
      <c r="A552" s="2" t="s">
        <v>166</v>
      </c>
      <c r="B552" s="2" t="s">
        <v>977</v>
      </c>
      <c r="C552" s="5" t="s">
        <v>992</v>
      </c>
      <c r="D552" s="2" t="s">
        <v>1162</v>
      </c>
    </row>
    <row r="553" spans="1:4" ht="12.95" customHeight="1" x14ac:dyDescent="0.25">
      <c r="A553" s="2" t="s">
        <v>180</v>
      </c>
      <c r="B553" s="2" t="s">
        <v>1007</v>
      </c>
      <c r="C553" s="5" t="s">
        <v>996</v>
      </c>
      <c r="D553" s="2" t="s">
        <v>997</v>
      </c>
    </row>
    <row r="554" spans="1:4" ht="12.95" customHeight="1" x14ac:dyDescent="0.25">
      <c r="A554" s="2" t="s">
        <v>180</v>
      </c>
      <c r="B554" s="2" t="s">
        <v>1007</v>
      </c>
      <c r="C554" s="5" t="s">
        <v>978</v>
      </c>
      <c r="D554" s="2" t="s">
        <v>979</v>
      </c>
    </row>
    <row r="555" spans="1:4" ht="12.95" customHeight="1" x14ac:dyDescent="0.25">
      <c r="A555" s="2" t="s">
        <v>180</v>
      </c>
      <c r="B555" s="2" t="s">
        <v>1007</v>
      </c>
      <c r="C555" s="5" t="s">
        <v>980</v>
      </c>
      <c r="D555" s="2" t="s">
        <v>981</v>
      </c>
    </row>
    <row r="556" spans="1:4" ht="12.95" customHeight="1" x14ac:dyDescent="0.25">
      <c r="A556" s="2" t="s">
        <v>180</v>
      </c>
      <c r="B556" s="2" t="s">
        <v>1007</v>
      </c>
      <c r="C556" s="5" t="s">
        <v>982</v>
      </c>
      <c r="D556" s="2" t="s">
        <v>983</v>
      </c>
    </row>
    <row r="557" spans="1:4" ht="12.95" customHeight="1" x14ac:dyDescent="0.25">
      <c r="A557" s="2" t="s">
        <v>180</v>
      </c>
      <c r="B557" s="2" t="s">
        <v>1007</v>
      </c>
      <c r="C557" s="5" t="s">
        <v>984</v>
      </c>
      <c r="D557" s="2" t="s">
        <v>1163</v>
      </c>
    </row>
    <row r="558" spans="1:4" ht="12.95" customHeight="1" x14ac:dyDescent="0.25">
      <c r="A558" s="2" t="s">
        <v>180</v>
      </c>
      <c r="B558" s="2" t="s">
        <v>1007</v>
      </c>
      <c r="C558" s="5" t="s">
        <v>986</v>
      </c>
      <c r="D558" s="2" t="s">
        <v>1164</v>
      </c>
    </row>
    <row r="559" spans="1:4" ht="12.95" customHeight="1" x14ac:dyDescent="0.25">
      <c r="A559" s="2" t="s">
        <v>180</v>
      </c>
      <c r="B559" s="2" t="s">
        <v>1007</v>
      </c>
      <c r="C559" s="5" t="s">
        <v>988</v>
      </c>
      <c r="D559" s="2" t="s">
        <v>1165</v>
      </c>
    </row>
    <row r="560" spans="1:4" ht="12.95" customHeight="1" x14ac:dyDescent="0.25">
      <c r="A560" s="2" t="s">
        <v>180</v>
      </c>
      <c r="B560" s="2" t="s">
        <v>1007</v>
      </c>
      <c r="C560" s="5" t="s">
        <v>990</v>
      </c>
      <c r="D560" s="2" t="s">
        <v>1166</v>
      </c>
    </row>
    <row r="561" spans="1:4" ht="12.95" customHeight="1" x14ac:dyDescent="0.25">
      <c r="A561" s="2" t="s">
        <v>180</v>
      </c>
      <c r="B561" s="2" t="s">
        <v>1007</v>
      </c>
      <c r="C561" s="5" t="s">
        <v>992</v>
      </c>
      <c r="D561" s="2" t="s">
        <v>1167</v>
      </c>
    </row>
    <row r="562" spans="1:4" ht="12.95" customHeight="1" x14ac:dyDescent="0.25">
      <c r="A562" s="2" t="s">
        <v>183</v>
      </c>
      <c r="B562" s="2" t="s">
        <v>1007</v>
      </c>
      <c r="C562" s="5" t="s">
        <v>1168</v>
      </c>
      <c r="D562" s="2" t="s">
        <v>1047</v>
      </c>
    </row>
    <row r="563" spans="1:4" ht="12.95" customHeight="1" x14ac:dyDescent="0.25">
      <c r="A563" s="2" t="s">
        <v>183</v>
      </c>
      <c r="B563" s="2" t="s">
        <v>1007</v>
      </c>
      <c r="C563" s="5" t="s">
        <v>1169</v>
      </c>
      <c r="D563" s="2" t="s">
        <v>981</v>
      </c>
    </row>
    <row r="564" spans="1:4" ht="12.95" customHeight="1" x14ac:dyDescent="0.25">
      <c r="A564" s="2" t="s">
        <v>183</v>
      </c>
      <c r="B564" s="2" t="s">
        <v>1007</v>
      </c>
      <c r="C564" s="5" t="s">
        <v>996</v>
      </c>
      <c r="D564" s="2" t="s">
        <v>997</v>
      </c>
    </row>
    <row r="565" spans="1:4" ht="12.95" customHeight="1" x14ac:dyDescent="0.25">
      <c r="A565" s="2" t="s">
        <v>183</v>
      </c>
      <c r="B565" s="2" t="s">
        <v>1007</v>
      </c>
      <c r="C565" s="5" t="s">
        <v>978</v>
      </c>
      <c r="D565" s="2" t="s">
        <v>1047</v>
      </c>
    </row>
    <row r="566" spans="1:4" ht="12.95" customHeight="1" x14ac:dyDescent="0.25">
      <c r="A566" s="2" t="s">
        <v>183</v>
      </c>
      <c r="B566" s="2" t="s">
        <v>1007</v>
      </c>
      <c r="C566" s="5" t="s">
        <v>980</v>
      </c>
      <c r="D566" s="2" t="s">
        <v>1041</v>
      </c>
    </row>
    <row r="567" spans="1:4" ht="12.95" customHeight="1" x14ac:dyDescent="0.25">
      <c r="A567" s="2" t="s">
        <v>183</v>
      </c>
      <c r="B567" s="2" t="s">
        <v>1007</v>
      </c>
      <c r="C567" s="5" t="s">
        <v>982</v>
      </c>
      <c r="D567" s="2" t="s">
        <v>983</v>
      </c>
    </row>
    <row r="568" spans="1:4" ht="12.95" customHeight="1" x14ac:dyDescent="0.25">
      <c r="A568" s="2" t="s">
        <v>186</v>
      </c>
      <c r="B568" s="2" t="s">
        <v>1040</v>
      </c>
      <c r="C568" s="5" t="s">
        <v>984</v>
      </c>
      <c r="D568" s="2" t="s">
        <v>1061</v>
      </c>
    </row>
    <row r="569" spans="1:4" ht="12.95" customHeight="1" x14ac:dyDescent="0.25">
      <c r="A569" s="2" t="s">
        <v>186</v>
      </c>
      <c r="B569" s="2" t="s">
        <v>1040</v>
      </c>
      <c r="C569" s="5" t="s">
        <v>986</v>
      </c>
      <c r="D569" s="2" t="s">
        <v>1062</v>
      </c>
    </row>
    <row r="570" spans="1:4" ht="12.95" customHeight="1" x14ac:dyDescent="0.25">
      <c r="A570" s="2" t="s">
        <v>188</v>
      </c>
      <c r="B570" s="2" t="s">
        <v>977</v>
      </c>
      <c r="C570" s="5" t="s">
        <v>996</v>
      </c>
      <c r="D570" s="2" t="s">
        <v>997</v>
      </c>
    </row>
    <row r="571" spans="1:4" ht="12.95" customHeight="1" x14ac:dyDescent="0.25">
      <c r="A571" s="2" t="s">
        <v>188</v>
      </c>
      <c r="B571" s="2" t="s">
        <v>977</v>
      </c>
      <c r="C571" s="5" t="s">
        <v>978</v>
      </c>
      <c r="D571" s="2" t="s">
        <v>1047</v>
      </c>
    </row>
    <row r="572" spans="1:4" ht="12.95" customHeight="1" x14ac:dyDescent="0.25">
      <c r="A572" s="2" t="s">
        <v>188</v>
      </c>
      <c r="B572" s="2" t="s">
        <v>977</v>
      </c>
      <c r="C572" s="5" t="s">
        <v>980</v>
      </c>
      <c r="D572" s="2" t="s">
        <v>1041</v>
      </c>
    </row>
    <row r="573" spans="1:4" ht="12.95" customHeight="1" x14ac:dyDescent="0.25">
      <c r="A573" s="2" t="s">
        <v>188</v>
      </c>
      <c r="B573" s="2" t="s">
        <v>977</v>
      </c>
      <c r="C573" s="5" t="s">
        <v>982</v>
      </c>
      <c r="D573" s="2" t="s">
        <v>983</v>
      </c>
    </row>
    <row r="574" spans="1:4" ht="12.95" customHeight="1" x14ac:dyDescent="0.25">
      <c r="A574" s="2" t="s">
        <v>188</v>
      </c>
      <c r="B574" s="2" t="s">
        <v>977</v>
      </c>
      <c r="C574" s="5" t="s">
        <v>984</v>
      </c>
      <c r="D574" s="2" t="s">
        <v>1061</v>
      </c>
    </row>
    <row r="575" spans="1:4" ht="12.95" customHeight="1" x14ac:dyDescent="0.25">
      <c r="A575" s="2" t="s">
        <v>188</v>
      </c>
      <c r="B575" s="2" t="s">
        <v>977</v>
      </c>
      <c r="C575" s="5" t="s">
        <v>986</v>
      </c>
      <c r="D575" s="2" t="s">
        <v>1153</v>
      </c>
    </row>
    <row r="576" spans="1:4" ht="12.95" customHeight="1" x14ac:dyDescent="0.25">
      <c r="A576" s="2" t="s">
        <v>191</v>
      </c>
      <c r="B576" s="2" t="s">
        <v>977</v>
      </c>
      <c r="C576" s="5" t="s">
        <v>996</v>
      </c>
      <c r="D576" s="2" t="s">
        <v>997</v>
      </c>
    </row>
    <row r="577" spans="1:4" ht="12.95" customHeight="1" x14ac:dyDescent="0.25">
      <c r="A577" s="2" t="s">
        <v>191</v>
      </c>
      <c r="B577" s="2" t="s">
        <v>977</v>
      </c>
      <c r="C577" s="5" t="s">
        <v>984</v>
      </c>
      <c r="D577" s="2" t="s">
        <v>1061</v>
      </c>
    </row>
    <row r="578" spans="1:4" ht="12.95" customHeight="1" x14ac:dyDescent="0.25">
      <c r="A578" s="2" t="s">
        <v>191</v>
      </c>
      <c r="B578" s="2" t="s">
        <v>977</v>
      </c>
      <c r="C578" s="5" t="s">
        <v>986</v>
      </c>
      <c r="D578" s="2" t="s">
        <v>1062</v>
      </c>
    </row>
    <row r="579" spans="1:4" ht="12.95" customHeight="1" x14ac:dyDescent="0.25">
      <c r="A579" s="2" t="s">
        <v>193</v>
      </c>
      <c r="B579" s="2" t="s">
        <v>977</v>
      </c>
      <c r="C579" s="5" t="s">
        <v>984</v>
      </c>
      <c r="D579" s="2" t="s">
        <v>1061</v>
      </c>
    </row>
    <row r="580" spans="1:4" ht="12.95" customHeight="1" x14ac:dyDescent="0.25">
      <c r="A580" s="2" t="s">
        <v>193</v>
      </c>
      <c r="B580" s="2" t="s">
        <v>977</v>
      </c>
      <c r="C580" s="5" t="s">
        <v>986</v>
      </c>
      <c r="D580" s="2" t="s">
        <v>1062</v>
      </c>
    </row>
    <row r="581" spans="1:4" ht="12.95" customHeight="1" x14ac:dyDescent="0.25">
      <c r="A581" s="2" t="s">
        <v>195</v>
      </c>
      <c r="B581" s="2" t="s">
        <v>1007</v>
      </c>
      <c r="C581" s="5" t="s">
        <v>978</v>
      </c>
      <c r="D581" s="2" t="s">
        <v>979</v>
      </c>
    </row>
    <row r="582" spans="1:4" ht="12.95" customHeight="1" x14ac:dyDescent="0.25">
      <c r="A582" s="2" t="s">
        <v>195</v>
      </c>
      <c r="B582" s="2" t="s">
        <v>1007</v>
      </c>
      <c r="C582" s="5" t="s">
        <v>980</v>
      </c>
      <c r="D582" s="2" t="s">
        <v>1041</v>
      </c>
    </row>
    <row r="583" spans="1:4" ht="12.95" customHeight="1" x14ac:dyDescent="0.25">
      <c r="A583" s="2" t="s">
        <v>195</v>
      </c>
      <c r="B583" s="2" t="s">
        <v>1007</v>
      </c>
      <c r="C583" s="5" t="s">
        <v>984</v>
      </c>
      <c r="D583" s="2" t="s">
        <v>1170</v>
      </c>
    </row>
    <row r="584" spans="1:4" ht="12.95" customHeight="1" x14ac:dyDescent="0.25">
      <c r="A584" s="2" t="s">
        <v>195</v>
      </c>
      <c r="B584" s="2" t="s">
        <v>1007</v>
      </c>
      <c r="C584" s="5" t="s">
        <v>986</v>
      </c>
      <c r="D584" s="2" t="s">
        <v>1171</v>
      </c>
    </row>
    <row r="585" spans="1:4" ht="12.95" customHeight="1" x14ac:dyDescent="0.25">
      <c r="A585" s="2" t="s">
        <v>195</v>
      </c>
      <c r="B585" s="2" t="s">
        <v>1007</v>
      </c>
      <c r="C585" s="5" t="s">
        <v>988</v>
      </c>
      <c r="D585" s="2" t="s">
        <v>1172</v>
      </c>
    </row>
    <row r="586" spans="1:4" ht="12.95" customHeight="1" x14ac:dyDescent="0.25">
      <c r="A586" s="2" t="s">
        <v>195</v>
      </c>
      <c r="B586" s="2" t="s">
        <v>1007</v>
      </c>
      <c r="C586" s="5" t="s">
        <v>1005</v>
      </c>
      <c r="D586" s="2" t="s">
        <v>1173</v>
      </c>
    </row>
    <row r="587" spans="1:4" ht="12.95" customHeight="1" x14ac:dyDescent="0.25">
      <c r="A587" s="2" t="s">
        <v>198</v>
      </c>
      <c r="B587" s="2" t="s">
        <v>1007</v>
      </c>
      <c r="C587" s="5" t="s">
        <v>982</v>
      </c>
      <c r="D587" s="2" t="s">
        <v>983</v>
      </c>
    </row>
    <row r="588" spans="1:4" ht="12.95" customHeight="1" x14ac:dyDescent="0.25">
      <c r="A588" s="2" t="s">
        <v>203</v>
      </c>
      <c r="B588" s="2" t="s">
        <v>1060</v>
      </c>
      <c r="C588" s="5" t="s">
        <v>996</v>
      </c>
      <c r="D588" s="2" t="s">
        <v>997</v>
      </c>
    </row>
    <row r="589" spans="1:4" ht="12.95" customHeight="1" x14ac:dyDescent="0.25">
      <c r="A589" s="2" t="s">
        <v>203</v>
      </c>
      <c r="B589" s="2" t="s">
        <v>1060</v>
      </c>
      <c r="C589" s="5" t="s">
        <v>982</v>
      </c>
      <c r="D589" s="2" t="s">
        <v>983</v>
      </c>
    </row>
    <row r="590" spans="1:4" ht="12.95" customHeight="1" x14ac:dyDescent="0.25">
      <c r="A590" s="2" t="s">
        <v>205</v>
      </c>
      <c r="B590" s="2" t="s">
        <v>1040</v>
      </c>
      <c r="C590" s="5" t="s">
        <v>996</v>
      </c>
      <c r="D590" s="2" t="s">
        <v>997</v>
      </c>
    </row>
    <row r="591" spans="1:4" ht="12.95" customHeight="1" x14ac:dyDescent="0.25">
      <c r="A591" s="2" t="s">
        <v>205</v>
      </c>
      <c r="B591" s="2" t="s">
        <v>1040</v>
      </c>
      <c r="C591" s="5" t="s">
        <v>978</v>
      </c>
      <c r="D591" s="2" t="s">
        <v>1047</v>
      </c>
    </row>
    <row r="592" spans="1:4" ht="12.95" customHeight="1" x14ac:dyDescent="0.25">
      <c r="A592" s="2" t="s">
        <v>205</v>
      </c>
      <c r="B592" s="2" t="s">
        <v>1040</v>
      </c>
      <c r="C592" s="5" t="s">
        <v>980</v>
      </c>
      <c r="D592" s="2" t="s">
        <v>1041</v>
      </c>
    </row>
    <row r="593" spans="1:4" ht="12.95" customHeight="1" x14ac:dyDescent="0.25">
      <c r="A593" s="2" t="s">
        <v>205</v>
      </c>
      <c r="B593" s="2" t="s">
        <v>1040</v>
      </c>
      <c r="C593" s="5" t="s">
        <v>982</v>
      </c>
      <c r="D593" s="2" t="s">
        <v>983</v>
      </c>
    </row>
    <row r="594" spans="1:4" ht="12.95" customHeight="1" x14ac:dyDescent="0.25">
      <c r="A594" s="2" t="s">
        <v>205</v>
      </c>
      <c r="B594" s="2" t="s">
        <v>1040</v>
      </c>
      <c r="C594" s="5" t="s">
        <v>984</v>
      </c>
      <c r="D594" s="2" t="s">
        <v>1061</v>
      </c>
    </row>
    <row r="595" spans="1:4" ht="12.95" customHeight="1" x14ac:dyDescent="0.25">
      <c r="A595" s="2" t="s">
        <v>205</v>
      </c>
      <c r="B595" s="2" t="s">
        <v>1040</v>
      </c>
      <c r="C595" s="5" t="s">
        <v>986</v>
      </c>
      <c r="D595" s="2" t="s">
        <v>1062</v>
      </c>
    </row>
    <row r="596" spans="1:4" ht="12.95" customHeight="1" x14ac:dyDescent="0.25">
      <c r="A596" s="2" t="s">
        <v>211</v>
      </c>
      <c r="B596" s="2" t="s">
        <v>977</v>
      </c>
      <c r="C596" s="5" t="s">
        <v>996</v>
      </c>
      <c r="D596" s="2" t="s">
        <v>997</v>
      </c>
    </row>
    <row r="597" spans="1:4" ht="12.95" customHeight="1" x14ac:dyDescent="0.25">
      <c r="A597" s="2" t="s">
        <v>213</v>
      </c>
      <c r="B597" s="2" t="s">
        <v>977</v>
      </c>
      <c r="C597" s="5" t="s">
        <v>978</v>
      </c>
      <c r="D597" s="2" t="s">
        <v>1047</v>
      </c>
    </row>
    <row r="598" spans="1:4" ht="12.95" customHeight="1" x14ac:dyDescent="0.25">
      <c r="A598" s="2" t="s">
        <v>213</v>
      </c>
      <c r="B598" s="2" t="s">
        <v>977</v>
      </c>
      <c r="C598" s="5" t="s">
        <v>980</v>
      </c>
      <c r="D598" s="2" t="s">
        <v>1041</v>
      </c>
    </row>
    <row r="599" spans="1:4" ht="12.95" customHeight="1" x14ac:dyDescent="0.25">
      <c r="A599" s="2" t="s">
        <v>213</v>
      </c>
      <c r="B599" s="2" t="s">
        <v>977</v>
      </c>
      <c r="C599" s="5" t="s">
        <v>982</v>
      </c>
      <c r="D599" s="2" t="s">
        <v>983</v>
      </c>
    </row>
    <row r="600" spans="1:4" ht="12.95" customHeight="1" x14ac:dyDescent="0.25">
      <c r="A600" s="2" t="s">
        <v>213</v>
      </c>
      <c r="B600" s="2" t="s">
        <v>977</v>
      </c>
      <c r="C600" s="5" t="s">
        <v>984</v>
      </c>
      <c r="D600" s="2" t="s">
        <v>1061</v>
      </c>
    </row>
    <row r="601" spans="1:4" ht="12.95" customHeight="1" x14ac:dyDescent="0.25">
      <c r="A601" s="2" t="s">
        <v>213</v>
      </c>
      <c r="B601" s="2" t="s">
        <v>977</v>
      </c>
      <c r="C601" s="5" t="s">
        <v>986</v>
      </c>
      <c r="D601" s="2" t="s">
        <v>1153</v>
      </c>
    </row>
    <row r="602" spans="1:4" ht="12.95" customHeight="1" x14ac:dyDescent="0.25">
      <c r="A602" s="2" t="s">
        <v>216</v>
      </c>
      <c r="B602" s="2" t="s">
        <v>1040</v>
      </c>
      <c r="C602" s="5" t="s">
        <v>996</v>
      </c>
      <c r="D602" s="2" t="s">
        <v>997</v>
      </c>
    </row>
    <row r="603" spans="1:4" ht="12.95" customHeight="1" x14ac:dyDescent="0.25">
      <c r="A603" s="2" t="s">
        <v>216</v>
      </c>
      <c r="B603" s="2" t="s">
        <v>1040</v>
      </c>
      <c r="C603" s="5" t="s">
        <v>1174</v>
      </c>
      <c r="D603" s="2" t="s">
        <v>1175</v>
      </c>
    </row>
    <row r="604" spans="1:4" ht="12.95" customHeight="1" x14ac:dyDescent="0.25">
      <c r="A604" s="2" t="s">
        <v>216</v>
      </c>
      <c r="B604" s="2" t="s">
        <v>1040</v>
      </c>
      <c r="C604" s="5" t="s">
        <v>992</v>
      </c>
      <c r="D604" s="2" t="s">
        <v>1176</v>
      </c>
    </row>
    <row r="605" spans="1:4" ht="12.95" customHeight="1" x14ac:dyDescent="0.25">
      <c r="A605" s="2" t="s">
        <v>216</v>
      </c>
      <c r="B605" s="2" t="s">
        <v>1040</v>
      </c>
      <c r="C605" s="5" t="s">
        <v>1177</v>
      </c>
      <c r="D605" s="2" t="s">
        <v>1178</v>
      </c>
    </row>
    <row r="606" spans="1:4" ht="12.95" customHeight="1" x14ac:dyDescent="0.25">
      <c r="A606" s="2" t="s">
        <v>216</v>
      </c>
      <c r="B606" s="2" t="s">
        <v>1040</v>
      </c>
      <c r="C606" s="5" t="s">
        <v>1179</v>
      </c>
      <c r="D606" s="2" t="s">
        <v>1180</v>
      </c>
    </row>
    <row r="607" spans="1:4" ht="12.95" customHeight="1" x14ac:dyDescent="0.25">
      <c r="A607" s="2" t="s">
        <v>216</v>
      </c>
      <c r="B607" s="2" t="s">
        <v>1040</v>
      </c>
      <c r="C607" s="5" t="s">
        <v>1181</v>
      </c>
      <c r="D607" s="2" t="s">
        <v>1182</v>
      </c>
    </row>
    <row r="608" spans="1:4" ht="12.95" customHeight="1" x14ac:dyDescent="0.25">
      <c r="A608" s="2" t="s">
        <v>216</v>
      </c>
      <c r="B608" s="2" t="s">
        <v>1040</v>
      </c>
      <c r="C608" s="5" t="s">
        <v>1183</v>
      </c>
      <c r="D608" s="2" t="s">
        <v>1184</v>
      </c>
    </row>
    <row r="609" spans="1:4" ht="12.95" customHeight="1" x14ac:dyDescent="0.25">
      <c r="A609" s="2" t="s">
        <v>216</v>
      </c>
      <c r="B609" s="2" t="s">
        <v>1040</v>
      </c>
      <c r="C609" s="5" t="s">
        <v>1185</v>
      </c>
      <c r="D609" s="2" t="s">
        <v>1186</v>
      </c>
    </row>
    <row r="610" spans="1:4" ht="12.95" customHeight="1" x14ac:dyDescent="0.25">
      <c r="A610" s="2" t="s">
        <v>216</v>
      </c>
      <c r="B610" s="2" t="s">
        <v>1040</v>
      </c>
      <c r="C610" s="5" t="s">
        <v>1187</v>
      </c>
      <c r="D610" s="2" t="s">
        <v>1188</v>
      </c>
    </row>
    <row r="611" spans="1:4" ht="12.95" customHeight="1" x14ac:dyDescent="0.25">
      <c r="A611" s="2" t="s">
        <v>216</v>
      </c>
      <c r="B611" s="2" t="s">
        <v>1040</v>
      </c>
      <c r="C611" s="5" t="s">
        <v>1189</v>
      </c>
      <c r="D611" s="2" t="s">
        <v>1190</v>
      </c>
    </row>
    <row r="612" spans="1:4" ht="12.95" customHeight="1" x14ac:dyDescent="0.25">
      <c r="A612" s="2" t="s">
        <v>216</v>
      </c>
      <c r="B612" s="2" t="s">
        <v>1040</v>
      </c>
      <c r="C612" s="5" t="s">
        <v>1191</v>
      </c>
      <c r="D612" s="2" t="s">
        <v>1192</v>
      </c>
    </row>
    <row r="613" spans="1:4" ht="12.95" customHeight="1" x14ac:dyDescent="0.25">
      <c r="A613" s="2" t="s">
        <v>216</v>
      </c>
      <c r="B613" s="2" t="s">
        <v>1040</v>
      </c>
      <c r="C613" s="5" t="s">
        <v>1193</v>
      </c>
      <c r="D613" s="2" t="s">
        <v>1194</v>
      </c>
    </row>
    <row r="614" spans="1:4" ht="12.95" customHeight="1" x14ac:dyDescent="0.25">
      <c r="A614" s="2" t="s">
        <v>218</v>
      </c>
      <c r="B614" s="2" t="s">
        <v>1040</v>
      </c>
      <c r="C614" s="5" t="s">
        <v>996</v>
      </c>
      <c r="D614" s="2" t="s">
        <v>997</v>
      </c>
    </row>
    <row r="615" spans="1:4" ht="12.95" customHeight="1" x14ac:dyDescent="0.25">
      <c r="A615" s="2" t="s">
        <v>220</v>
      </c>
      <c r="B615" s="2" t="s">
        <v>1040</v>
      </c>
      <c r="C615" s="5" t="s">
        <v>1183</v>
      </c>
      <c r="D615" s="2" t="s">
        <v>1195</v>
      </c>
    </row>
    <row r="616" spans="1:4" ht="12.95" customHeight="1" x14ac:dyDescent="0.25">
      <c r="A616" s="2" t="s">
        <v>220</v>
      </c>
      <c r="B616" s="2" t="s">
        <v>1040</v>
      </c>
      <c r="C616" s="5" t="s">
        <v>1196</v>
      </c>
      <c r="D616" s="2" t="s">
        <v>1197</v>
      </c>
    </row>
    <row r="617" spans="1:4" ht="12.95" customHeight="1" x14ac:dyDescent="0.25">
      <c r="A617" s="2" t="s">
        <v>220</v>
      </c>
      <c r="B617" s="2" t="s">
        <v>1040</v>
      </c>
      <c r="C617" s="5" t="s">
        <v>1198</v>
      </c>
      <c r="D617" s="2" t="s">
        <v>1199</v>
      </c>
    </row>
    <row r="618" spans="1:4" ht="12.95" customHeight="1" x14ac:dyDescent="0.25">
      <c r="A618" s="2" t="s">
        <v>220</v>
      </c>
      <c r="B618" s="2" t="s">
        <v>1040</v>
      </c>
      <c r="C618" s="5" t="s">
        <v>1200</v>
      </c>
      <c r="D618" s="2" t="s">
        <v>1201</v>
      </c>
    </row>
    <row r="619" spans="1:4" ht="12.95" customHeight="1" x14ac:dyDescent="0.25">
      <c r="A619" s="2" t="s">
        <v>220</v>
      </c>
      <c r="B619" s="2" t="s">
        <v>1040</v>
      </c>
      <c r="C619" s="5" t="s">
        <v>1202</v>
      </c>
      <c r="D619" s="2" t="s">
        <v>1203</v>
      </c>
    </row>
    <row r="620" spans="1:4" ht="12.95" customHeight="1" x14ac:dyDescent="0.25">
      <c r="A620" s="2" t="s">
        <v>220</v>
      </c>
      <c r="B620" s="2" t="s">
        <v>1040</v>
      </c>
      <c r="C620" s="5" t="s">
        <v>1204</v>
      </c>
      <c r="D620" s="2" t="s">
        <v>1205</v>
      </c>
    </row>
    <row r="621" spans="1:4" ht="12.95" customHeight="1" x14ac:dyDescent="0.25">
      <c r="A621" s="2" t="s">
        <v>220</v>
      </c>
      <c r="B621" s="2" t="s">
        <v>1040</v>
      </c>
      <c r="C621" s="5" t="s">
        <v>1206</v>
      </c>
      <c r="D621" s="2" t="s">
        <v>1207</v>
      </c>
    </row>
    <row r="622" spans="1:4" ht="12.95" customHeight="1" x14ac:dyDescent="0.25">
      <c r="A622" s="2" t="s">
        <v>220</v>
      </c>
      <c r="B622" s="2" t="s">
        <v>1040</v>
      </c>
      <c r="C622" s="5" t="s">
        <v>1208</v>
      </c>
      <c r="D622" s="2" t="s">
        <v>1209</v>
      </c>
    </row>
    <row r="623" spans="1:4" ht="12.95" customHeight="1" x14ac:dyDescent="0.25">
      <c r="A623" s="2" t="s">
        <v>224</v>
      </c>
      <c r="B623" s="2" t="s">
        <v>1040</v>
      </c>
      <c r="C623" s="5" t="s">
        <v>1183</v>
      </c>
      <c r="D623" s="2" t="s">
        <v>1195</v>
      </c>
    </row>
    <row r="624" spans="1:4" ht="12.95" customHeight="1" x14ac:dyDescent="0.25">
      <c r="A624" s="2" t="s">
        <v>224</v>
      </c>
      <c r="B624" s="2" t="s">
        <v>1040</v>
      </c>
      <c r="C624" s="5" t="s">
        <v>1196</v>
      </c>
      <c r="D624" s="2" t="s">
        <v>1197</v>
      </c>
    </row>
    <row r="625" spans="1:4" ht="12.95" customHeight="1" x14ac:dyDescent="0.25">
      <c r="A625" s="2" t="s">
        <v>224</v>
      </c>
      <c r="B625" s="2" t="s">
        <v>1040</v>
      </c>
      <c r="C625" s="5" t="s">
        <v>1198</v>
      </c>
      <c r="D625" s="2" t="s">
        <v>1199</v>
      </c>
    </row>
    <row r="626" spans="1:4" ht="12.95" customHeight="1" x14ac:dyDescent="0.25">
      <c r="A626" s="2" t="s">
        <v>224</v>
      </c>
      <c r="B626" s="2" t="s">
        <v>1040</v>
      </c>
      <c r="C626" s="5" t="s">
        <v>1200</v>
      </c>
      <c r="D626" s="2" t="s">
        <v>1201</v>
      </c>
    </row>
    <row r="627" spans="1:4" ht="12.95" customHeight="1" x14ac:dyDescent="0.25">
      <c r="A627" s="2" t="s">
        <v>224</v>
      </c>
      <c r="B627" s="2" t="s">
        <v>1040</v>
      </c>
      <c r="C627" s="5" t="s">
        <v>1202</v>
      </c>
      <c r="D627" s="2" t="s">
        <v>1203</v>
      </c>
    </row>
    <row r="628" spans="1:4" ht="12.95" customHeight="1" x14ac:dyDescent="0.25">
      <c r="A628" s="2" t="s">
        <v>224</v>
      </c>
      <c r="B628" s="2" t="s">
        <v>1040</v>
      </c>
      <c r="C628" s="5" t="s">
        <v>1204</v>
      </c>
      <c r="D628" s="2" t="s">
        <v>1205</v>
      </c>
    </row>
    <row r="629" spans="1:4" ht="12.95" customHeight="1" x14ac:dyDescent="0.25">
      <c r="A629" s="2" t="s">
        <v>224</v>
      </c>
      <c r="B629" s="2" t="s">
        <v>1040</v>
      </c>
      <c r="C629" s="5" t="s">
        <v>1206</v>
      </c>
      <c r="D629" s="2" t="s">
        <v>1207</v>
      </c>
    </row>
    <row r="630" spans="1:4" ht="12.95" customHeight="1" x14ac:dyDescent="0.25">
      <c r="A630" s="2" t="s">
        <v>224</v>
      </c>
      <c r="B630" s="2" t="s">
        <v>1040</v>
      </c>
      <c r="C630" s="5" t="s">
        <v>1208</v>
      </c>
      <c r="D630" s="2" t="s">
        <v>1209</v>
      </c>
    </row>
    <row r="631" spans="1:4" ht="12.95" customHeight="1" x14ac:dyDescent="0.25">
      <c r="A631" s="2" t="s">
        <v>228</v>
      </c>
      <c r="B631" s="2" t="s">
        <v>977</v>
      </c>
      <c r="C631" s="5" t="s">
        <v>996</v>
      </c>
      <c r="D631" s="2" t="s">
        <v>997</v>
      </c>
    </row>
    <row r="632" spans="1:4" ht="12.95" customHeight="1" x14ac:dyDescent="0.25">
      <c r="A632" s="2" t="s">
        <v>228</v>
      </c>
      <c r="B632" s="2" t="s">
        <v>977</v>
      </c>
      <c r="C632" s="5" t="s">
        <v>978</v>
      </c>
      <c r="D632" s="2" t="s">
        <v>979</v>
      </c>
    </row>
    <row r="633" spans="1:4" ht="12.95" customHeight="1" x14ac:dyDescent="0.25">
      <c r="A633" s="2" t="s">
        <v>228</v>
      </c>
      <c r="B633" s="2" t="s">
        <v>977</v>
      </c>
      <c r="C633" s="5" t="s">
        <v>980</v>
      </c>
      <c r="D633" s="2" t="s">
        <v>1041</v>
      </c>
    </row>
    <row r="634" spans="1:4" ht="12.95" customHeight="1" x14ac:dyDescent="0.25">
      <c r="A634" s="2" t="s">
        <v>228</v>
      </c>
      <c r="B634" s="2" t="s">
        <v>977</v>
      </c>
      <c r="C634" s="5" t="s">
        <v>984</v>
      </c>
      <c r="D634" s="2" t="s">
        <v>1210</v>
      </c>
    </row>
    <row r="635" spans="1:4" ht="12.95" customHeight="1" x14ac:dyDescent="0.25">
      <c r="A635" s="2" t="s">
        <v>228</v>
      </c>
      <c r="B635" s="2" t="s">
        <v>977</v>
      </c>
      <c r="C635" s="5" t="s">
        <v>986</v>
      </c>
      <c r="D635" s="2" t="s">
        <v>1211</v>
      </c>
    </row>
    <row r="636" spans="1:4" ht="12.95" customHeight="1" x14ac:dyDescent="0.25">
      <c r="A636" s="2" t="s">
        <v>228</v>
      </c>
      <c r="B636" s="2" t="s">
        <v>977</v>
      </c>
      <c r="C636" s="5" t="s">
        <v>988</v>
      </c>
      <c r="D636" s="2" t="s">
        <v>1212</v>
      </c>
    </row>
    <row r="637" spans="1:4" ht="12.95" customHeight="1" x14ac:dyDescent="0.25">
      <c r="A637" s="2" t="s">
        <v>228</v>
      </c>
      <c r="B637" s="2" t="s">
        <v>977</v>
      </c>
      <c r="C637" s="5" t="s">
        <v>990</v>
      </c>
      <c r="D637" s="2" t="s">
        <v>1213</v>
      </c>
    </row>
    <row r="638" spans="1:4" ht="12.95" customHeight="1" x14ac:dyDescent="0.25">
      <c r="A638" s="2" t="s">
        <v>228</v>
      </c>
      <c r="B638" s="2" t="s">
        <v>977</v>
      </c>
      <c r="C638" s="5" t="s">
        <v>992</v>
      </c>
      <c r="D638" s="2" t="s">
        <v>1214</v>
      </c>
    </row>
    <row r="639" spans="1:4" ht="12.95" customHeight="1" x14ac:dyDescent="0.25">
      <c r="A639" s="2" t="s">
        <v>231</v>
      </c>
      <c r="B639" s="2" t="s">
        <v>1007</v>
      </c>
      <c r="C639" s="5" t="s">
        <v>996</v>
      </c>
      <c r="D639" s="2" t="s">
        <v>997</v>
      </c>
    </row>
    <row r="640" spans="1:4" ht="12.95" customHeight="1" x14ac:dyDescent="0.25">
      <c r="A640" s="2" t="s">
        <v>231</v>
      </c>
      <c r="B640" s="2" t="s">
        <v>1007</v>
      </c>
      <c r="C640" s="5" t="s">
        <v>978</v>
      </c>
      <c r="D640" s="2" t="s">
        <v>1047</v>
      </c>
    </row>
    <row r="641" spans="1:4" ht="12.95" customHeight="1" x14ac:dyDescent="0.25">
      <c r="A641" s="2" t="s">
        <v>231</v>
      </c>
      <c r="B641" s="2" t="s">
        <v>1007</v>
      </c>
      <c r="C641" s="5" t="s">
        <v>980</v>
      </c>
      <c r="D641" s="2" t="s">
        <v>1041</v>
      </c>
    </row>
    <row r="642" spans="1:4" ht="12.95" customHeight="1" x14ac:dyDescent="0.25">
      <c r="A642" s="2" t="s">
        <v>231</v>
      </c>
      <c r="B642" s="2" t="s">
        <v>1007</v>
      </c>
      <c r="C642" s="5" t="s">
        <v>982</v>
      </c>
      <c r="D642" s="2" t="s">
        <v>983</v>
      </c>
    </row>
    <row r="643" spans="1:4" ht="12.95" customHeight="1" x14ac:dyDescent="0.25">
      <c r="A643" s="2" t="s">
        <v>231</v>
      </c>
      <c r="B643" s="2" t="s">
        <v>1007</v>
      </c>
      <c r="C643" s="5" t="s">
        <v>984</v>
      </c>
      <c r="D643" s="2" t="s">
        <v>1215</v>
      </c>
    </row>
    <row r="644" spans="1:4" ht="12.95" customHeight="1" x14ac:dyDescent="0.25">
      <c r="A644" s="2" t="s">
        <v>231</v>
      </c>
      <c r="B644" s="2" t="s">
        <v>1007</v>
      </c>
      <c r="C644" s="5" t="s">
        <v>986</v>
      </c>
      <c r="D644" s="2" t="s">
        <v>1216</v>
      </c>
    </row>
    <row r="645" spans="1:4" ht="12.95" customHeight="1" x14ac:dyDescent="0.25">
      <c r="A645" s="2" t="s">
        <v>231</v>
      </c>
      <c r="B645" s="2" t="s">
        <v>1007</v>
      </c>
      <c r="C645" s="5" t="s">
        <v>988</v>
      </c>
      <c r="D645" s="2" t="s">
        <v>1217</v>
      </c>
    </row>
    <row r="646" spans="1:4" ht="12.95" customHeight="1" x14ac:dyDescent="0.25">
      <c r="A646" s="2" t="s">
        <v>231</v>
      </c>
      <c r="B646" s="2" t="s">
        <v>1007</v>
      </c>
      <c r="C646" s="5" t="s">
        <v>990</v>
      </c>
      <c r="D646" s="2" t="s">
        <v>1218</v>
      </c>
    </row>
    <row r="647" spans="1:4" ht="12.95" customHeight="1" x14ac:dyDescent="0.25">
      <c r="A647" s="2" t="s">
        <v>231</v>
      </c>
      <c r="B647" s="2" t="s">
        <v>1007</v>
      </c>
      <c r="C647" s="5" t="s">
        <v>1005</v>
      </c>
      <c r="D647" s="2" t="s">
        <v>1173</v>
      </c>
    </row>
    <row r="648" spans="1:4" ht="12.95" customHeight="1" x14ac:dyDescent="0.25">
      <c r="A648" s="2" t="s">
        <v>234</v>
      </c>
      <c r="B648" s="2" t="s">
        <v>1007</v>
      </c>
      <c r="C648" s="5" t="s">
        <v>982</v>
      </c>
      <c r="D648" s="2" t="s">
        <v>983</v>
      </c>
    </row>
    <row r="649" spans="1:4" ht="12.95" customHeight="1" x14ac:dyDescent="0.25">
      <c r="A649" s="2" t="s">
        <v>237</v>
      </c>
      <c r="B649" s="2" t="s">
        <v>1040</v>
      </c>
      <c r="C649" s="5" t="s">
        <v>1219</v>
      </c>
      <c r="D649" s="2" t="s">
        <v>1220</v>
      </c>
    </row>
    <row r="650" spans="1:4" ht="12.95" customHeight="1" x14ac:dyDescent="0.25">
      <c r="A650" s="2" t="s">
        <v>237</v>
      </c>
      <c r="B650" s="2" t="s">
        <v>1040</v>
      </c>
      <c r="C650" s="5" t="s">
        <v>1221</v>
      </c>
      <c r="D650" s="2" t="s">
        <v>1222</v>
      </c>
    </row>
    <row r="651" spans="1:4" ht="12.95" customHeight="1" x14ac:dyDescent="0.25">
      <c r="A651" s="2" t="s">
        <v>237</v>
      </c>
      <c r="B651" s="2" t="s">
        <v>1040</v>
      </c>
      <c r="C651" s="5" t="s">
        <v>1223</v>
      </c>
      <c r="D651" s="2" t="s">
        <v>1224</v>
      </c>
    </row>
    <row r="652" spans="1:4" ht="12.95" customHeight="1" x14ac:dyDescent="0.25">
      <c r="A652" s="2" t="s">
        <v>237</v>
      </c>
      <c r="B652" s="2" t="s">
        <v>1040</v>
      </c>
      <c r="C652" s="5" t="s">
        <v>1225</v>
      </c>
      <c r="D652" s="2" t="s">
        <v>1226</v>
      </c>
    </row>
    <row r="653" spans="1:4" ht="12.95" customHeight="1" x14ac:dyDescent="0.25">
      <c r="A653" s="2" t="s">
        <v>237</v>
      </c>
      <c r="B653" s="2" t="s">
        <v>1040</v>
      </c>
      <c r="C653" s="5" t="s">
        <v>1227</v>
      </c>
      <c r="D653" s="2" t="s">
        <v>1228</v>
      </c>
    </row>
    <row r="654" spans="1:4" ht="12.95" customHeight="1" x14ac:dyDescent="0.25">
      <c r="A654" s="2" t="s">
        <v>237</v>
      </c>
      <c r="B654" s="2" t="s">
        <v>1040</v>
      </c>
      <c r="C654" s="5" t="s">
        <v>1229</v>
      </c>
      <c r="D654" s="2" t="s">
        <v>1230</v>
      </c>
    </row>
    <row r="655" spans="1:4" ht="12.95" customHeight="1" x14ac:dyDescent="0.25">
      <c r="A655" s="2" t="s">
        <v>237</v>
      </c>
      <c r="B655" s="2" t="s">
        <v>1040</v>
      </c>
      <c r="C655" s="5" t="s">
        <v>1231</v>
      </c>
      <c r="D655" s="2" t="s">
        <v>1232</v>
      </c>
    </row>
    <row r="656" spans="1:4" ht="12.95" customHeight="1" x14ac:dyDescent="0.25">
      <c r="A656" s="2" t="s">
        <v>237</v>
      </c>
      <c r="B656" s="2" t="s">
        <v>1040</v>
      </c>
      <c r="C656" s="5" t="s">
        <v>1233</v>
      </c>
      <c r="D656" s="2" t="s">
        <v>1234</v>
      </c>
    </row>
    <row r="657" spans="1:4" ht="12.95" customHeight="1" x14ac:dyDescent="0.25">
      <c r="A657" s="2" t="s">
        <v>237</v>
      </c>
      <c r="B657" s="2" t="s">
        <v>1040</v>
      </c>
      <c r="C657" s="5" t="s">
        <v>1235</v>
      </c>
      <c r="D657" s="2" t="s">
        <v>1236</v>
      </c>
    </row>
    <row r="658" spans="1:4" ht="12.95" customHeight="1" x14ac:dyDescent="0.25">
      <c r="A658" s="2" t="s">
        <v>237</v>
      </c>
      <c r="B658" s="2" t="s">
        <v>1040</v>
      </c>
      <c r="C658" s="5" t="s">
        <v>1237</v>
      </c>
      <c r="D658" s="2" t="s">
        <v>1238</v>
      </c>
    </row>
    <row r="659" spans="1:4" ht="12.95" customHeight="1" x14ac:dyDescent="0.25">
      <c r="A659" s="2" t="s">
        <v>237</v>
      </c>
      <c r="B659" s="2" t="s">
        <v>1040</v>
      </c>
      <c r="C659" s="5" t="s">
        <v>1239</v>
      </c>
      <c r="D659" s="2" t="s">
        <v>1240</v>
      </c>
    </row>
    <row r="660" spans="1:4" ht="12.95" customHeight="1" x14ac:dyDescent="0.25">
      <c r="A660" s="2" t="s">
        <v>237</v>
      </c>
      <c r="B660" s="2" t="s">
        <v>1040</v>
      </c>
      <c r="C660" s="5" t="s">
        <v>1241</v>
      </c>
      <c r="D660" s="2" t="s">
        <v>1242</v>
      </c>
    </row>
    <row r="661" spans="1:4" ht="12.95" customHeight="1" x14ac:dyDescent="0.25">
      <c r="A661" s="2" t="s">
        <v>237</v>
      </c>
      <c r="B661" s="2" t="s">
        <v>1040</v>
      </c>
      <c r="C661" s="5" t="s">
        <v>1243</v>
      </c>
      <c r="D661" s="2" t="s">
        <v>1244</v>
      </c>
    </row>
    <row r="662" spans="1:4" ht="12.95" customHeight="1" x14ac:dyDescent="0.25">
      <c r="A662" s="2" t="s">
        <v>237</v>
      </c>
      <c r="B662" s="2" t="s">
        <v>1040</v>
      </c>
      <c r="C662" s="5" t="s">
        <v>1245</v>
      </c>
      <c r="D662" s="2" t="s">
        <v>1246</v>
      </c>
    </row>
    <row r="663" spans="1:4" ht="12.95" customHeight="1" x14ac:dyDescent="0.25">
      <c r="A663" s="2" t="s">
        <v>237</v>
      </c>
      <c r="B663" s="2" t="s">
        <v>1040</v>
      </c>
      <c r="C663" s="5" t="s">
        <v>1247</v>
      </c>
      <c r="D663" s="2" t="s">
        <v>1248</v>
      </c>
    </row>
    <row r="664" spans="1:4" ht="12.95" customHeight="1" x14ac:dyDescent="0.25">
      <c r="A664" s="2" t="s">
        <v>237</v>
      </c>
      <c r="B664" s="2" t="s">
        <v>1040</v>
      </c>
      <c r="C664" s="5" t="s">
        <v>1249</v>
      </c>
      <c r="D664" s="2" t="s">
        <v>1250</v>
      </c>
    </row>
    <row r="665" spans="1:4" ht="12.95" customHeight="1" x14ac:dyDescent="0.25">
      <c r="A665" s="2" t="s">
        <v>237</v>
      </c>
      <c r="B665" s="2" t="s">
        <v>1040</v>
      </c>
      <c r="C665" s="5" t="s">
        <v>1251</v>
      </c>
      <c r="D665" s="2" t="s">
        <v>1252</v>
      </c>
    </row>
    <row r="666" spans="1:4" ht="12.95" customHeight="1" x14ac:dyDescent="0.25">
      <c r="A666" s="2" t="s">
        <v>237</v>
      </c>
      <c r="B666" s="2" t="s">
        <v>1040</v>
      </c>
      <c r="C666" s="5" t="s">
        <v>1253</v>
      </c>
      <c r="D666" s="2" t="s">
        <v>1254</v>
      </c>
    </row>
    <row r="667" spans="1:4" ht="12.95" customHeight="1" x14ac:dyDescent="0.25">
      <c r="A667" s="2" t="s">
        <v>237</v>
      </c>
      <c r="B667" s="2" t="s">
        <v>1040</v>
      </c>
      <c r="C667" s="5" t="s">
        <v>1255</v>
      </c>
      <c r="D667" s="2" t="s">
        <v>1256</v>
      </c>
    </row>
    <row r="668" spans="1:4" ht="12.95" customHeight="1" x14ac:dyDescent="0.25">
      <c r="A668" s="2" t="s">
        <v>237</v>
      </c>
      <c r="B668" s="2" t="s">
        <v>1040</v>
      </c>
      <c r="C668" s="5" t="s">
        <v>1257</v>
      </c>
      <c r="D668" s="2" t="s">
        <v>1258</v>
      </c>
    </row>
    <row r="669" spans="1:4" ht="12.95" customHeight="1" x14ac:dyDescent="0.25">
      <c r="A669" s="2" t="s">
        <v>237</v>
      </c>
      <c r="B669" s="2" t="s">
        <v>1040</v>
      </c>
      <c r="C669" s="5" t="s">
        <v>1259</v>
      </c>
      <c r="D669" s="2" t="s">
        <v>1260</v>
      </c>
    </row>
    <row r="670" spans="1:4" ht="12.95" customHeight="1" x14ac:dyDescent="0.25">
      <c r="A670" s="2" t="s">
        <v>237</v>
      </c>
      <c r="B670" s="2" t="s">
        <v>1040</v>
      </c>
      <c r="C670" s="5" t="s">
        <v>1261</v>
      </c>
      <c r="D670" s="2" t="s">
        <v>1262</v>
      </c>
    </row>
    <row r="671" spans="1:4" ht="12.95" customHeight="1" x14ac:dyDescent="0.25">
      <c r="A671" s="2" t="s">
        <v>237</v>
      </c>
      <c r="B671" s="2" t="s">
        <v>1040</v>
      </c>
      <c r="C671" s="5" t="s">
        <v>1263</v>
      </c>
      <c r="D671" s="2" t="s">
        <v>1264</v>
      </c>
    </row>
    <row r="672" spans="1:4" ht="12.95" customHeight="1" x14ac:dyDescent="0.25">
      <c r="A672" s="2" t="s">
        <v>237</v>
      </c>
      <c r="B672" s="2" t="s">
        <v>1040</v>
      </c>
      <c r="C672" s="5" t="s">
        <v>1265</v>
      </c>
      <c r="D672" s="2" t="s">
        <v>1266</v>
      </c>
    </row>
    <row r="673" spans="1:4" ht="12.95" customHeight="1" x14ac:dyDescent="0.25">
      <c r="A673" s="2" t="s">
        <v>237</v>
      </c>
      <c r="B673" s="2" t="s">
        <v>1040</v>
      </c>
      <c r="C673" s="5" t="s">
        <v>1267</v>
      </c>
      <c r="D673" s="2" t="s">
        <v>1268</v>
      </c>
    </row>
    <row r="674" spans="1:4" ht="12.95" customHeight="1" x14ac:dyDescent="0.25">
      <c r="A674" s="2" t="s">
        <v>237</v>
      </c>
      <c r="B674" s="2" t="s">
        <v>1040</v>
      </c>
      <c r="C674" s="5" t="s">
        <v>1269</v>
      </c>
      <c r="D674" s="2" t="s">
        <v>1270</v>
      </c>
    </row>
    <row r="675" spans="1:4" ht="12.95" customHeight="1" x14ac:dyDescent="0.25">
      <c r="A675" s="2" t="s">
        <v>237</v>
      </c>
      <c r="B675" s="2" t="s">
        <v>1040</v>
      </c>
      <c r="C675" s="5" t="s">
        <v>1271</v>
      </c>
      <c r="D675" s="2" t="s">
        <v>1272</v>
      </c>
    </row>
    <row r="676" spans="1:4" ht="12.95" customHeight="1" x14ac:dyDescent="0.25">
      <c r="A676" s="2" t="s">
        <v>237</v>
      </c>
      <c r="B676" s="2" t="s">
        <v>1040</v>
      </c>
      <c r="C676" s="5" t="s">
        <v>1273</v>
      </c>
      <c r="D676" s="2" t="s">
        <v>1274</v>
      </c>
    </row>
    <row r="677" spans="1:4" ht="12.95" customHeight="1" x14ac:dyDescent="0.25">
      <c r="A677" s="2" t="s">
        <v>237</v>
      </c>
      <c r="B677" s="2" t="s">
        <v>1040</v>
      </c>
      <c r="C677" s="5" t="s">
        <v>1275</v>
      </c>
      <c r="D677" s="2" t="s">
        <v>1276</v>
      </c>
    </row>
    <row r="678" spans="1:4" ht="12.95" customHeight="1" x14ac:dyDescent="0.25">
      <c r="A678" s="2" t="s">
        <v>237</v>
      </c>
      <c r="B678" s="2" t="s">
        <v>1040</v>
      </c>
      <c r="C678" s="5" t="s">
        <v>1277</v>
      </c>
      <c r="D678" s="2" t="s">
        <v>1278</v>
      </c>
    </row>
    <row r="679" spans="1:4" ht="12.95" customHeight="1" x14ac:dyDescent="0.25">
      <c r="A679" s="2" t="s">
        <v>237</v>
      </c>
      <c r="B679" s="2" t="s">
        <v>1040</v>
      </c>
      <c r="C679" s="5" t="s">
        <v>1279</v>
      </c>
      <c r="D679" s="2" t="s">
        <v>1280</v>
      </c>
    </row>
    <row r="680" spans="1:4" ht="12.95" customHeight="1" x14ac:dyDescent="0.25">
      <c r="A680" s="2" t="s">
        <v>237</v>
      </c>
      <c r="B680" s="2" t="s">
        <v>1040</v>
      </c>
      <c r="C680" s="5" t="s">
        <v>1281</v>
      </c>
      <c r="D680" s="2" t="s">
        <v>1282</v>
      </c>
    </row>
    <row r="681" spans="1:4" ht="12.95" customHeight="1" x14ac:dyDescent="0.25">
      <c r="A681" s="2" t="s">
        <v>237</v>
      </c>
      <c r="B681" s="2" t="s">
        <v>1040</v>
      </c>
      <c r="C681" s="5" t="s">
        <v>1283</v>
      </c>
      <c r="D681" s="2" t="s">
        <v>1284</v>
      </c>
    </row>
    <row r="682" spans="1:4" ht="12.95" customHeight="1" x14ac:dyDescent="0.25">
      <c r="A682" s="2" t="s">
        <v>237</v>
      </c>
      <c r="B682" s="2" t="s">
        <v>1040</v>
      </c>
      <c r="C682" s="5" t="s">
        <v>1285</v>
      </c>
      <c r="D682" s="2" t="s">
        <v>1286</v>
      </c>
    </row>
    <row r="683" spans="1:4" ht="12.95" customHeight="1" x14ac:dyDescent="0.25">
      <c r="A683" s="2" t="s">
        <v>237</v>
      </c>
      <c r="B683" s="2" t="s">
        <v>1040</v>
      </c>
      <c r="C683" s="5" t="s">
        <v>1287</v>
      </c>
      <c r="D683" s="2" t="s">
        <v>1288</v>
      </c>
    </row>
    <row r="684" spans="1:4" ht="12.95" customHeight="1" x14ac:dyDescent="0.25">
      <c r="A684" s="2" t="s">
        <v>237</v>
      </c>
      <c r="B684" s="2" t="s">
        <v>1040</v>
      </c>
      <c r="C684" s="5" t="s">
        <v>1289</v>
      </c>
      <c r="D684" s="2" t="s">
        <v>1290</v>
      </c>
    </row>
    <row r="685" spans="1:4" ht="12.95" customHeight="1" x14ac:dyDescent="0.25">
      <c r="A685" s="2" t="s">
        <v>237</v>
      </c>
      <c r="B685" s="2" t="s">
        <v>1040</v>
      </c>
      <c r="C685" s="5" t="s">
        <v>1291</v>
      </c>
      <c r="D685" s="2" t="s">
        <v>1292</v>
      </c>
    </row>
    <row r="686" spans="1:4" ht="12.95" customHeight="1" x14ac:dyDescent="0.25">
      <c r="A686" s="2" t="s">
        <v>237</v>
      </c>
      <c r="B686" s="2" t="s">
        <v>1040</v>
      </c>
      <c r="C686" s="5" t="s">
        <v>1293</v>
      </c>
      <c r="D686" s="2" t="s">
        <v>1294</v>
      </c>
    </row>
    <row r="687" spans="1:4" ht="12.95" customHeight="1" x14ac:dyDescent="0.25">
      <c r="A687" s="2" t="s">
        <v>237</v>
      </c>
      <c r="B687" s="2" t="s">
        <v>1040</v>
      </c>
      <c r="C687" s="5" t="s">
        <v>1295</v>
      </c>
      <c r="D687" s="2" t="s">
        <v>1296</v>
      </c>
    </row>
    <row r="688" spans="1:4" ht="12.95" customHeight="1" x14ac:dyDescent="0.25">
      <c r="A688" s="2" t="s">
        <v>237</v>
      </c>
      <c r="B688" s="2" t="s">
        <v>1040</v>
      </c>
      <c r="C688" s="5" t="s">
        <v>1297</v>
      </c>
      <c r="D688" s="2" t="s">
        <v>1298</v>
      </c>
    </row>
    <row r="689" spans="1:4" ht="12.95" customHeight="1" x14ac:dyDescent="0.25">
      <c r="A689" s="2" t="s">
        <v>237</v>
      </c>
      <c r="B689" s="2" t="s">
        <v>1040</v>
      </c>
      <c r="C689" s="5" t="s">
        <v>1299</v>
      </c>
      <c r="D689" s="2" t="s">
        <v>1300</v>
      </c>
    </row>
    <row r="690" spans="1:4" ht="12.95" customHeight="1" x14ac:dyDescent="0.25">
      <c r="A690" s="2" t="s">
        <v>237</v>
      </c>
      <c r="B690" s="2" t="s">
        <v>1040</v>
      </c>
      <c r="C690" s="5" t="s">
        <v>1301</v>
      </c>
      <c r="D690" s="2" t="s">
        <v>1302</v>
      </c>
    </row>
    <row r="691" spans="1:4" ht="12.95" customHeight="1" x14ac:dyDescent="0.25">
      <c r="A691" s="2" t="s">
        <v>237</v>
      </c>
      <c r="B691" s="2" t="s">
        <v>1040</v>
      </c>
      <c r="C691" s="5" t="s">
        <v>1303</v>
      </c>
      <c r="D691" s="2" t="s">
        <v>1304</v>
      </c>
    </row>
    <row r="692" spans="1:4" ht="12.95" customHeight="1" x14ac:dyDescent="0.25">
      <c r="A692" s="2" t="s">
        <v>237</v>
      </c>
      <c r="B692" s="2" t="s">
        <v>1040</v>
      </c>
      <c r="C692" s="5" t="s">
        <v>1305</v>
      </c>
      <c r="D692" s="2" t="s">
        <v>1306</v>
      </c>
    </row>
    <row r="693" spans="1:4" ht="12.95" customHeight="1" x14ac:dyDescent="0.25">
      <c r="A693" s="2" t="s">
        <v>237</v>
      </c>
      <c r="B693" s="2" t="s">
        <v>1040</v>
      </c>
      <c r="C693" s="5" t="s">
        <v>1307</v>
      </c>
      <c r="D693" s="2" t="s">
        <v>1308</v>
      </c>
    </row>
    <row r="694" spans="1:4" ht="12.95" customHeight="1" x14ac:dyDescent="0.25">
      <c r="A694" s="2" t="s">
        <v>237</v>
      </c>
      <c r="B694" s="2" t="s">
        <v>1040</v>
      </c>
      <c r="C694" s="5" t="s">
        <v>1309</v>
      </c>
      <c r="D694" s="2" t="s">
        <v>1310</v>
      </c>
    </row>
    <row r="695" spans="1:4" ht="12.95" customHeight="1" x14ac:dyDescent="0.25">
      <c r="A695" s="2" t="s">
        <v>237</v>
      </c>
      <c r="B695" s="2" t="s">
        <v>1040</v>
      </c>
      <c r="C695" s="5" t="s">
        <v>1311</v>
      </c>
      <c r="D695" s="2" t="s">
        <v>1312</v>
      </c>
    </row>
    <row r="696" spans="1:4" ht="12.95" customHeight="1" x14ac:dyDescent="0.25">
      <c r="A696" s="2" t="s">
        <v>237</v>
      </c>
      <c r="B696" s="2" t="s">
        <v>1040</v>
      </c>
      <c r="C696" s="5" t="s">
        <v>1313</v>
      </c>
      <c r="D696" s="2" t="s">
        <v>1314</v>
      </c>
    </row>
    <row r="697" spans="1:4" ht="12.95" customHeight="1" x14ac:dyDescent="0.25">
      <c r="A697" s="2" t="s">
        <v>237</v>
      </c>
      <c r="B697" s="2" t="s">
        <v>1040</v>
      </c>
      <c r="C697" s="5" t="s">
        <v>1315</v>
      </c>
      <c r="D697" s="2" t="s">
        <v>1316</v>
      </c>
    </row>
    <row r="698" spans="1:4" ht="12.95" customHeight="1" x14ac:dyDescent="0.25">
      <c r="A698" s="2" t="s">
        <v>237</v>
      </c>
      <c r="B698" s="2" t="s">
        <v>1040</v>
      </c>
      <c r="C698" s="5" t="s">
        <v>1317</v>
      </c>
      <c r="D698" s="2" t="s">
        <v>1318</v>
      </c>
    </row>
    <row r="699" spans="1:4" ht="12.95" customHeight="1" x14ac:dyDescent="0.25">
      <c r="A699" s="2" t="s">
        <v>237</v>
      </c>
      <c r="B699" s="2" t="s">
        <v>1040</v>
      </c>
      <c r="C699" s="5" t="s">
        <v>1319</v>
      </c>
      <c r="D699" s="2" t="s">
        <v>1320</v>
      </c>
    </row>
    <row r="700" spans="1:4" ht="12.95" customHeight="1" x14ac:dyDescent="0.25">
      <c r="A700" s="2" t="s">
        <v>237</v>
      </c>
      <c r="B700" s="2" t="s">
        <v>1040</v>
      </c>
      <c r="C700" s="5" t="s">
        <v>1321</v>
      </c>
      <c r="D700" s="2" t="s">
        <v>1322</v>
      </c>
    </row>
    <row r="701" spans="1:4" ht="12.95" customHeight="1" x14ac:dyDescent="0.25">
      <c r="A701" s="2" t="s">
        <v>237</v>
      </c>
      <c r="B701" s="2" t="s">
        <v>1040</v>
      </c>
      <c r="C701" s="5" t="s">
        <v>1323</v>
      </c>
      <c r="D701" s="2" t="s">
        <v>1324</v>
      </c>
    </row>
    <row r="702" spans="1:4" ht="12.95" customHeight="1" x14ac:dyDescent="0.25">
      <c r="A702" s="2" t="s">
        <v>237</v>
      </c>
      <c r="B702" s="2" t="s">
        <v>1040</v>
      </c>
      <c r="C702" s="5" t="s">
        <v>1325</v>
      </c>
      <c r="D702" s="2" t="s">
        <v>1326</v>
      </c>
    </row>
    <row r="703" spans="1:4" ht="12.95" customHeight="1" x14ac:dyDescent="0.25">
      <c r="A703" s="2" t="s">
        <v>237</v>
      </c>
      <c r="B703" s="2" t="s">
        <v>1040</v>
      </c>
      <c r="C703" s="5" t="s">
        <v>1327</v>
      </c>
      <c r="D703" s="2" t="s">
        <v>1328</v>
      </c>
    </row>
    <row r="704" spans="1:4" ht="12.95" customHeight="1" x14ac:dyDescent="0.25">
      <c r="A704" s="2" t="s">
        <v>237</v>
      </c>
      <c r="B704" s="2" t="s">
        <v>1040</v>
      </c>
      <c r="C704" s="5" t="s">
        <v>1329</v>
      </c>
      <c r="D704" s="2" t="s">
        <v>1330</v>
      </c>
    </row>
    <row r="705" spans="1:4" ht="12.95" customHeight="1" x14ac:dyDescent="0.25">
      <c r="A705" s="2" t="s">
        <v>237</v>
      </c>
      <c r="B705" s="2" t="s">
        <v>1040</v>
      </c>
      <c r="C705" s="5" t="s">
        <v>1331</v>
      </c>
      <c r="D705" s="2" t="s">
        <v>1332</v>
      </c>
    </row>
    <row r="706" spans="1:4" ht="12.95" customHeight="1" x14ac:dyDescent="0.25">
      <c r="A706" s="2" t="s">
        <v>237</v>
      </c>
      <c r="B706" s="2" t="s">
        <v>1040</v>
      </c>
      <c r="C706" s="5" t="s">
        <v>1333</v>
      </c>
      <c r="D706" s="2" t="s">
        <v>1334</v>
      </c>
    </row>
    <row r="707" spans="1:4" ht="12.95" customHeight="1" x14ac:dyDescent="0.25">
      <c r="A707" s="2" t="s">
        <v>237</v>
      </c>
      <c r="B707" s="2" t="s">
        <v>1040</v>
      </c>
      <c r="C707" s="5" t="s">
        <v>1335</v>
      </c>
      <c r="D707" s="2" t="s">
        <v>1336</v>
      </c>
    </row>
    <row r="708" spans="1:4" ht="12.95" customHeight="1" x14ac:dyDescent="0.25">
      <c r="A708" s="2" t="s">
        <v>237</v>
      </c>
      <c r="B708" s="2" t="s">
        <v>1040</v>
      </c>
      <c r="C708" s="5" t="s">
        <v>1337</v>
      </c>
      <c r="D708" s="2" t="s">
        <v>1338</v>
      </c>
    </row>
    <row r="709" spans="1:4" ht="12.95" customHeight="1" x14ac:dyDescent="0.25">
      <c r="A709" s="2" t="s">
        <v>237</v>
      </c>
      <c r="B709" s="2" t="s">
        <v>1040</v>
      </c>
      <c r="C709" s="5" t="s">
        <v>1339</v>
      </c>
      <c r="D709" s="2" t="s">
        <v>1340</v>
      </c>
    </row>
    <row r="710" spans="1:4" ht="12.95" customHeight="1" x14ac:dyDescent="0.25">
      <c r="A710" s="2" t="s">
        <v>237</v>
      </c>
      <c r="B710" s="2" t="s">
        <v>1040</v>
      </c>
      <c r="C710" s="5" t="s">
        <v>1341</v>
      </c>
      <c r="D710" s="2" t="s">
        <v>1342</v>
      </c>
    </row>
    <row r="711" spans="1:4" ht="12.95" customHeight="1" x14ac:dyDescent="0.25">
      <c r="A711" s="2" t="s">
        <v>237</v>
      </c>
      <c r="B711" s="2" t="s">
        <v>1040</v>
      </c>
      <c r="C711" s="5" t="s">
        <v>1343</v>
      </c>
      <c r="D711" s="2" t="s">
        <v>1344</v>
      </c>
    </row>
    <row r="712" spans="1:4" ht="12.95" customHeight="1" x14ac:dyDescent="0.25">
      <c r="A712" s="2" t="s">
        <v>237</v>
      </c>
      <c r="B712" s="2" t="s">
        <v>1040</v>
      </c>
      <c r="C712" s="5" t="s">
        <v>1345</v>
      </c>
      <c r="D712" s="2" t="s">
        <v>1346</v>
      </c>
    </row>
    <row r="713" spans="1:4" ht="12.95" customHeight="1" x14ac:dyDescent="0.25">
      <c r="A713" s="2" t="s">
        <v>237</v>
      </c>
      <c r="B713" s="2" t="s">
        <v>1040</v>
      </c>
      <c r="C713" s="5" t="s">
        <v>1347</v>
      </c>
      <c r="D713" s="2" t="s">
        <v>1348</v>
      </c>
    </row>
    <row r="714" spans="1:4" ht="12.95" customHeight="1" x14ac:dyDescent="0.25">
      <c r="A714" s="2" t="s">
        <v>237</v>
      </c>
      <c r="B714" s="2" t="s">
        <v>1040</v>
      </c>
      <c r="C714" s="5" t="s">
        <v>1349</v>
      </c>
      <c r="D714" s="2" t="s">
        <v>1350</v>
      </c>
    </row>
    <row r="715" spans="1:4" ht="12.95" customHeight="1" x14ac:dyDescent="0.25">
      <c r="A715" s="2" t="s">
        <v>237</v>
      </c>
      <c r="B715" s="2" t="s">
        <v>1040</v>
      </c>
      <c r="C715" s="5" t="s">
        <v>1351</v>
      </c>
      <c r="D715" s="2" t="s">
        <v>1352</v>
      </c>
    </row>
    <row r="716" spans="1:4" ht="12.95" customHeight="1" x14ac:dyDescent="0.25">
      <c r="A716" s="2" t="s">
        <v>237</v>
      </c>
      <c r="B716" s="2" t="s">
        <v>1040</v>
      </c>
      <c r="C716" s="5" t="s">
        <v>1353</v>
      </c>
      <c r="D716" s="2" t="s">
        <v>1354</v>
      </c>
    </row>
    <row r="717" spans="1:4" ht="12.95" customHeight="1" x14ac:dyDescent="0.25">
      <c r="A717" s="2" t="s">
        <v>237</v>
      </c>
      <c r="B717" s="2" t="s">
        <v>1040</v>
      </c>
      <c r="C717" s="5" t="s">
        <v>1355</v>
      </c>
      <c r="D717" s="2" t="s">
        <v>1356</v>
      </c>
    </row>
    <row r="718" spans="1:4" ht="12.95" customHeight="1" x14ac:dyDescent="0.25">
      <c r="A718" s="2" t="s">
        <v>237</v>
      </c>
      <c r="B718" s="2" t="s">
        <v>1040</v>
      </c>
      <c r="C718" s="5" t="s">
        <v>1357</v>
      </c>
      <c r="D718" s="2" t="s">
        <v>1358</v>
      </c>
    </row>
    <row r="719" spans="1:4" ht="12.95" customHeight="1" x14ac:dyDescent="0.25">
      <c r="A719" s="2" t="s">
        <v>237</v>
      </c>
      <c r="B719" s="2" t="s">
        <v>1040</v>
      </c>
      <c r="C719" s="5" t="s">
        <v>1359</v>
      </c>
      <c r="D719" s="2" t="s">
        <v>1360</v>
      </c>
    </row>
    <row r="720" spans="1:4" ht="12.95" customHeight="1" x14ac:dyDescent="0.25">
      <c r="A720" s="2" t="s">
        <v>237</v>
      </c>
      <c r="B720" s="2" t="s">
        <v>1040</v>
      </c>
      <c r="C720" s="5" t="s">
        <v>1361</v>
      </c>
      <c r="D720" s="2" t="s">
        <v>1362</v>
      </c>
    </row>
    <row r="721" spans="1:4" ht="12.95" customHeight="1" x14ac:dyDescent="0.25">
      <c r="A721" s="2" t="s">
        <v>237</v>
      </c>
      <c r="B721" s="2" t="s">
        <v>1040</v>
      </c>
      <c r="C721" s="5" t="s">
        <v>1363</v>
      </c>
      <c r="D721" s="2" t="s">
        <v>1364</v>
      </c>
    </row>
    <row r="722" spans="1:4" ht="12.95" customHeight="1" x14ac:dyDescent="0.25">
      <c r="A722" s="2" t="s">
        <v>237</v>
      </c>
      <c r="B722" s="2" t="s">
        <v>1040</v>
      </c>
      <c r="C722" s="5" t="s">
        <v>1365</v>
      </c>
      <c r="D722" s="2" t="s">
        <v>1366</v>
      </c>
    </row>
    <row r="723" spans="1:4" ht="12.95" customHeight="1" x14ac:dyDescent="0.25">
      <c r="A723" s="2" t="s">
        <v>237</v>
      </c>
      <c r="B723" s="2" t="s">
        <v>1040</v>
      </c>
      <c r="C723" s="5" t="s">
        <v>1367</v>
      </c>
      <c r="D723" s="2" t="s">
        <v>1368</v>
      </c>
    </row>
    <row r="724" spans="1:4" ht="12.95" customHeight="1" x14ac:dyDescent="0.25">
      <c r="A724" s="2" t="s">
        <v>237</v>
      </c>
      <c r="B724" s="2" t="s">
        <v>1040</v>
      </c>
      <c r="C724" s="5" t="s">
        <v>1369</v>
      </c>
      <c r="D724" s="2" t="s">
        <v>1370</v>
      </c>
    </row>
    <row r="725" spans="1:4" ht="12.95" customHeight="1" x14ac:dyDescent="0.25">
      <c r="A725" s="2" t="s">
        <v>237</v>
      </c>
      <c r="B725" s="2" t="s">
        <v>1040</v>
      </c>
      <c r="C725" s="5" t="s">
        <v>1371</v>
      </c>
      <c r="D725" s="2" t="s">
        <v>1372</v>
      </c>
    </row>
    <row r="726" spans="1:4" ht="12.95" customHeight="1" x14ac:dyDescent="0.25">
      <c r="A726" s="2" t="s">
        <v>237</v>
      </c>
      <c r="B726" s="2" t="s">
        <v>1040</v>
      </c>
      <c r="C726" s="5" t="s">
        <v>1373</v>
      </c>
      <c r="D726" s="2" t="s">
        <v>1374</v>
      </c>
    </row>
    <row r="727" spans="1:4" ht="12.95" customHeight="1" x14ac:dyDescent="0.25">
      <c r="A727" s="2" t="s">
        <v>237</v>
      </c>
      <c r="B727" s="2" t="s">
        <v>1040</v>
      </c>
      <c r="C727" s="5" t="s">
        <v>1375</v>
      </c>
      <c r="D727" s="2" t="s">
        <v>1376</v>
      </c>
    </row>
    <row r="728" spans="1:4" ht="12.95" customHeight="1" x14ac:dyDescent="0.25">
      <c r="A728" s="2" t="s">
        <v>237</v>
      </c>
      <c r="B728" s="2" t="s">
        <v>1040</v>
      </c>
      <c r="C728" s="5" t="s">
        <v>1377</v>
      </c>
      <c r="D728" s="2" t="s">
        <v>1378</v>
      </c>
    </row>
    <row r="729" spans="1:4" ht="12.95" customHeight="1" x14ac:dyDescent="0.25">
      <c r="A729" s="2" t="s">
        <v>237</v>
      </c>
      <c r="B729" s="2" t="s">
        <v>1040</v>
      </c>
      <c r="C729" s="5" t="s">
        <v>1379</v>
      </c>
      <c r="D729" s="2" t="s">
        <v>1380</v>
      </c>
    </row>
    <row r="730" spans="1:4" ht="12.95" customHeight="1" x14ac:dyDescent="0.25">
      <c r="A730" s="2" t="s">
        <v>237</v>
      </c>
      <c r="B730" s="2" t="s">
        <v>1040</v>
      </c>
      <c r="C730" s="5" t="s">
        <v>1381</v>
      </c>
      <c r="D730" s="2" t="s">
        <v>1382</v>
      </c>
    </row>
    <row r="731" spans="1:4" ht="12.95" customHeight="1" x14ac:dyDescent="0.25">
      <c r="A731" s="2" t="s">
        <v>237</v>
      </c>
      <c r="B731" s="2" t="s">
        <v>1040</v>
      </c>
      <c r="C731" s="5" t="s">
        <v>1383</v>
      </c>
      <c r="D731" s="2" t="s">
        <v>1384</v>
      </c>
    </row>
    <row r="732" spans="1:4" ht="12.95" customHeight="1" x14ac:dyDescent="0.25">
      <c r="A732" s="2" t="s">
        <v>237</v>
      </c>
      <c r="B732" s="2" t="s">
        <v>1040</v>
      </c>
      <c r="C732" s="5" t="s">
        <v>1385</v>
      </c>
      <c r="D732" s="2" t="s">
        <v>1386</v>
      </c>
    </row>
    <row r="733" spans="1:4" ht="12.95" customHeight="1" x14ac:dyDescent="0.25">
      <c r="A733" s="2" t="s">
        <v>237</v>
      </c>
      <c r="B733" s="2" t="s">
        <v>1040</v>
      </c>
      <c r="C733" s="5" t="s">
        <v>1387</v>
      </c>
      <c r="D733" s="2" t="s">
        <v>1388</v>
      </c>
    </row>
    <row r="734" spans="1:4" ht="12.95" customHeight="1" x14ac:dyDescent="0.25">
      <c r="A734" s="2" t="s">
        <v>237</v>
      </c>
      <c r="B734" s="2" t="s">
        <v>1040</v>
      </c>
      <c r="C734" s="5" t="s">
        <v>1389</v>
      </c>
      <c r="D734" s="2" t="s">
        <v>1390</v>
      </c>
    </row>
    <row r="735" spans="1:4" ht="12.95" customHeight="1" x14ac:dyDescent="0.25">
      <c r="A735" s="2" t="s">
        <v>237</v>
      </c>
      <c r="B735" s="2" t="s">
        <v>1040</v>
      </c>
      <c r="C735" s="5" t="s">
        <v>1391</v>
      </c>
      <c r="D735" s="2" t="s">
        <v>1392</v>
      </c>
    </row>
    <row r="736" spans="1:4" ht="12.95" customHeight="1" x14ac:dyDescent="0.25">
      <c r="A736" s="2" t="s">
        <v>237</v>
      </c>
      <c r="B736" s="2" t="s">
        <v>1040</v>
      </c>
      <c r="C736" s="5" t="s">
        <v>1393</v>
      </c>
      <c r="D736" s="2" t="s">
        <v>1394</v>
      </c>
    </row>
    <row r="737" spans="1:4" ht="12.95" customHeight="1" x14ac:dyDescent="0.25">
      <c r="A737" s="2" t="s">
        <v>237</v>
      </c>
      <c r="B737" s="2" t="s">
        <v>1040</v>
      </c>
      <c r="C737" s="5" t="s">
        <v>1395</v>
      </c>
      <c r="D737" s="2" t="s">
        <v>1396</v>
      </c>
    </row>
    <row r="738" spans="1:4" ht="12.95" customHeight="1" x14ac:dyDescent="0.25">
      <c r="A738" s="2" t="s">
        <v>237</v>
      </c>
      <c r="B738" s="2" t="s">
        <v>1040</v>
      </c>
      <c r="C738" s="5" t="s">
        <v>1397</v>
      </c>
      <c r="D738" s="2" t="s">
        <v>1398</v>
      </c>
    </row>
    <row r="739" spans="1:4" ht="12.95" customHeight="1" x14ac:dyDescent="0.25">
      <c r="A739" s="2" t="s">
        <v>237</v>
      </c>
      <c r="B739" s="2" t="s">
        <v>1040</v>
      </c>
      <c r="C739" s="5" t="s">
        <v>1399</v>
      </c>
      <c r="D739" s="2" t="s">
        <v>1400</v>
      </c>
    </row>
    <row r="740" spans="1:4" ht="12.95" customHeight="1" x14ac:dyDescent="0.25">
      <c r="A740" s="2" t="s">
        <v>237</v>
      </c>
      <c r="B740" s="2" t="s">
        <v>1040</v>
      </c>
      <c r="C740" s="5" t="s">
        <v>1401</v>
      </c>
      <c r="D740" s="2" t="s">
        <v>1402</v>
      </c>
    </row>
    <row r="741" spans="1:4" ht="12.95" customHeight="1" x14ac:dyDescent="0.25">
      <c r="A741" s="2" t="s">
        <v>237</v>
      </c>
      <c r="B741" s="2" t="s">
        <v>1040</v>
      </c>
      <c r="C741" s="5" t="s">
        <v>1403</v>
      </c>
      <c r="D741" s="2" t="s">
        <v>1404</v>
      </c>
    </row>
    <row r="742" spans="1:4" ht="12.95" customHeight="1" x14ac:dyDescent="0.25">
      <c r="A742" s="2" t="s">
        <v>237</v>
      </c>
      <c r="B742" s="2" t="s">
        <v>1040</v>
      </c>
      <c r="C742" s="5" t="s">
        <v>1405</v>
      </c>
      <c r="D742" s="2" t="s">
        <v>1406</v>
      </c>
    </row>
    <row r="743" spans="1:4" ht="12.95" customHeight="1" x14ac:dyDescent="0.25">
      <c r="A743" s="2" t="s">
        <v>237</v>
      </c>
      <c r="B743" s="2" t="s">
        <v>1040</v>
      </c>
      <c r="C743" s="5" t="s">
        <v>1407</v>
      </c>
      <c r="D743" s="2" t="s">
        <v>1408</v>
      </c>
    </row>
    <row r="744" spans="1:4" ht="12.95" customHeight="1" x14ac:dyDescent="0.25">
      <c r="A744" s="2" t="s">
        <v>237</v>
      </c>
      <c r="B744" s="2" t="s">
        <v>1040</v>
      </c>
      <c r="C744" s="5" t="s">
        <v>1409</v>
      </c>
      <c r="D744" s="2" t="s">
        <v>1410</v>
      </c>
    </row>
    <row r="745" spans="1:4" ht="12.95" customHeight="1" x14ac:dyDescent="0.25">
      <c r="A745" s="2" t="s">
        <v>237</v>
      </c>
      <c r="B745" s="2" t="s">
        <v>1040</v>
      </c>
      <c r="C745" s="5" t="s">
        <v>1411</v>
      </c>
      <c r="D745" s="2" t="s">
        <v>1412</v>
      </c>
    </row>
    <row r="746" spans="1:4" ht="12.95" customHeight="1" x14ac:dyDescent="0.25">
      <c r="A746" s="2" t="s">
        <v>237</v>
      </c>
      <c r="B746" s="2" t="s">
        <v>1040</v>
      </c>
      <c r="C746" s="5" t="s">
        <v>1413</v>
      </c>
      <c r="D746" s="2" t="s">
        <v>1414</v>
      </c>
    </row>
    <row r="747" spans="1:4" ht="12.95" customHeight="1" x14ac:dyDescent="0.25">
      <c r="A747" s="2" t="s">
        <v>237</v>
      </c>
      <c r="B747" s="2" t="s">
        <v>1040</v>
      </c>
      <c r="C747" s="5" t="s">
        <v>1415</v>
      </c>
      <c r="D747" s="2" t="s">
        <v>1416</v>
      </c>
    </row>
    <row r="748" spans="1:4" ht="12.95" customHeight="1" x14ac:dyDescent="0.25">
      <c r="A748" s="2" t="s">
        <v>237</v>
      </c>
      <c r="B748" s="2" t="s">
        <v>1040</v>
      </c>
      <c r="C748" s="5" t="s">
        <v>1417</v>
      </c>
      <c r="D748" s="2" t="s">
        <v>1418</v>
      </c>
    </row>
    <row r="749" spans="1:4" ht="12.95" customHeight="1" x14ac:dyDescent="0.25">
      <c r="A749" s="2" t="s">
        <v>237</v>
      </c>
      <c r="B749" s="2" t="s">
        <v>1040</v>
      </c>
      <c r="C749" s="5" t="s">
        <v>1419</v>
      </c>
      <c r="D749" s="2" t="s">
        <v>1420</v>
      </c>
    </row>
    <row r="750" spans="1:4" ht="12.95" customHeight="1" x14ac:dyDescent="0.25">
      <c r="A750" s="2" t="s">
        <v>237</v>
      </c>
      <c r="B750" s="2" t="s">
        <v>1040</v>
      </c>
      <c r="C750" s="5" t="s">
        <v>1421</v>
      </c>
      <c r="D750" s="2" t="s">
        <v>1422</v>
      </c>
    </row>
    <row r="751" spans="1:4" ht="12.95" customHeight="1" x14ac:dyDescent="0.25">
      <c r="A751" s="2" t="s">
        <v>237</v>
      </c>
      <c r="B751" s="2" t="s">
        <v>1040</v>
      </c>
      <c r="C751" s="5" t="s">
        <v>1423</v>
      </c>
      <c r="D751" s="2" t="s">
        <v>1424</v>
      </c>
    </row>
    <row r="752" spans="1:4" ht="12.95" customHeight="1" x14ac:dyDescent="0.25">
      <c r="A752" s="2" t="s">
        <v>237</v>
      </c>
      <c r="B752" s="2" t="s">
        <v>1040</v>
      </c>
      <c r="C752" s="5" t="s">
        <v>1425</v>
      </c>
      <c r="D752" s="2" t="s">
        <v>1426</v>
      </c>
    </row>
    <row r="753" spans="1:4" ht="12.95" customHeight="1" x14ac:dyDescent="0.25">
      <c r="A753" s="2" t="s">
        <v>237</v>
      </c>
      <c r="B753" s="2" t="s">
        <v>1040</v>
      </c>
      <c r="C753" s="5" t="s">
        <v>1427</v>
      </c>
      <c r="D753" s="2" t="s">
        <v>1428</v>
      </c>
    </row>
    <row r="754" spans="1:4" ht="12.95" customHeight="1" x14ac:dyDescent="0.25">
      <c r="A754" s="2" t="s">
        <v>237</v>
      </c>
      <c r="B754" s="2" t="s">
        <v>1040</v>
      </c>
      <c r="C754" s="5" t="s">
        <v>1429</v>
      </c>
      <c r="D754" s="2" t="s">
        <v>1430</v>
      </c>
    </row>
    <row r="755" spans="1:4" ht="12.95" customHeight="1" x14ac:dyDescent="0.25">
      <c r="A755" s="2" t="s">
        <v>237</v>
      </c>
      <c r="B755" s="2" t="s">
        <v>1040</v>
      </c>
      <c r="C755" s="5" t="s">
        <v>1431</v>
      </c>
      <c r="D755" s="2" t="s">
        <v>1432</v>
      </c>
    </row>
    <row r="756" spans="1:4" ht="12.95" customHeight="1" x14ac:dyDescent="0.25">
      <c r="A756" s="2" t="s">
        <v>237</v>
      </c>
      <c r="B756" s="2" t="s">
        <v>1040</v>
      </c>
      <c r="C756" s="5" t="s">
        <v>1433</v>
      </c>
      <c r="D756" s="2" t="s">
        <v>1434</v>
      </c>
    </row>
    <row r="757" spans="1:4" ht="12.95" customHeight="1" x14ac:dyDescent="0.25">
      <c r="A757" s="2" t="s">
        <v>237</v>
      </c>
      <c r="B757" s="2" t="s">
        <v>1040</v>
      </c>
      <c r="C757" s="5" t="s">
        <v>1435</v>
      </c>
      <c r="D757" s="2" t="s">
        <v>1436</v>
      </c>
    </row>
    <row r="758" spans="1:4" ht="12.95" customHeight="1" x14ac:dyDescent="0.25">
      <c r="A758" s="2" t="s">
        <v>237</v>
      </c>
      <c r="B758" s="2" t="s">
        <v>1040</v>
      </c>
      <c r="C758" s="5" t="s">
        <v>1437</v>
      </c>
      <c r="D758" s="2" t="s">
        <v>1438</v>
      </c>
    </row>
    <row r="759" spans="1:4" ht="12.95" customHeight="1" x14ac:dyDescent="0.25">
      <c r="A759" s="2" t="s">
        <v>237</v>
      </c>
      <c r="B759" s="2" t="s">
        <v>1040</v>
      </c>
      <c r="C759" s="5" t="s">
        <v>1439</v>
      </c>
      <c r="D759" s="2" t="s">
        <v>1440</v>
      </c>
    </row>
    <row r="760" spans="1:4" ht="12.95" customHeight="1" x14ac:dyDescent="0.25">
      <c r="A760" s="2" t="s">
        <v>237</v>
      </c>
      <c r="B760" s="2" t="s">
        <v>1040</v>
      </c>
      <c r="C760" s="5" t="s">
        <v>1441</v>
      </c>
      <c r="D760" s="2" t="s">
        <v>1442</v>
      </c>
    </row>
    <row r="761" spans="1:4" ht="12.95" customHeight="1" x14ac:dyDescent="0.25">
      <c r="A761" s="2" t="s">
        <v>237</v>
      </c>
      <c r="B761" s="2" t="s">
        <v>1040</v>
      </c>
      <c r="C761" s="5" t="s">
        <v>1443</v>
      </c>
      <c r="D761" s="2" t="s">
        <v>1444</v>
      </c>
    </row>
    <row r="762" spans="1:4" ht="12.95" customHeight="1" x14ac:dyDescent="0.25">
      <c r="A762" s="2" t="s">
        <v>237</v>
      </c>
      <c r="B762" s="2" t="s">
        <v>1040</v>
      </c>
      <c r="C762" s="5" t="s">
        <v>1445</v>
      </c>
      <c r="D762" s="2" t="s">
        <v>1446</v>
      </c>
    </row>
    <row r="763" spans="1:4" ht="12.95" customHeight="1" x14ac:dyDescent="0.25">
      <c r="A763" s="2" t="s">
        <v>237</v>
      </c>
      <c r="B763" s="2" t="s">
        <v>1040</v>
      </c>
      <c r="C763" s="5" t="s">
        <v>1447</v>
      </c>
      <c r="D763" s="2" t="s">
        <v>1448</v>
      </c>
    </row>
    <row r="764" spans="1:4" ht="12.95" customHeight="1" x14ac:dyDescent="0.25">
      <c r="A764" s="2" t="s">
        <v>237</v>
      </c>
      <c r="B764" s="2" t="s">
        <v>1040</v>
      </c>
      <c r="C764" s="5" t="s">
        <v>1449</v>
      </c>
      <c r="D764" s="2" t="s">
        <v>1450</v>
      </c>
    </row>
    <row r="765" spans="1:4" ht="12.95" customHeight="1" x14ac:dyDescent="0.25">
      <c r="A765" s="2" t="s">
        <v>237</v>
      </c>
      <c r="B765" s="2" t="s">
        <v>1040</v>
      </c>
      <c r="C765" s="5" t="s">
        <v>1451</v>
      </c>
      <c r="D765" s="2" t="s">
        <v>1452</v>
      </c>
    </row>
    <row r="766" spans="1:4" ht="12.95" customHeight="1" x14ac:dyDescent="0.25">
      <c r="A766" s="2" t="s">
        <v>237</v>
      </c>
      <c r="B766" s="2" t="s">
        <v>1040</v>
      </c>
      <c r="C766" s="5" t="s">
        <v>1453</v>
      </c>
      <c r="D766" s="2" t="s">
        <v>1454</v>
      </c>
    </row>
    <row r="767" spans="1:4" ht="12.95" customHeight="1" x14ac:dyDescent="0.25">
      <c r="A767" s="2" t="s">
        <v>237</v>
      </c>
      <c r="B767" s="2" t="s">
        <v>1040</v>
      </c>
      <c r="C767" s="5" t="s">
        <v>1455</v>
      </c>
      <c r="D767" s="2" t="s">
        <v>1456</v>
      </c>
    </row>
    <row r="768" spans="1:4" ht="12.95" customHeight="1" x14ac:dyDescent="0.25">
      <c r="A768" s="2" t="s">
        <v>237</v>
      </c>
      <c r="B768" s="2" t="s">
        <v>1040</v>
      </c>
      <c r="C768" s="5" t="s">
        <v>1457</v>
      </c>
      <c r="D768" s="2" t="s">
        <v>1458</v>
      </c>
    </row>
    <row r="769" spans="1:4" ht="12.95" customHeight="1" x14ac:dyDescent="0.25">
      <c r="A769" s="2" t="s">
        <v>237</v>
      </c>
      <c r="B769" s="2" t="s">
        <v>1040</v>
      </c>
      <c r="C769" s="5" t="s">
        <v>1459</v>
      </c>
      <c r="D769" s="2" t="s">
        <v>1460</v>
      </c>
    </row>
    <row r="770" spans="1:4" ht="12.95" customHeight="1" x14ac:dyDescent="0.25">
      <c r="A770" s="2" t="s">
        <v>237</v>
      </c>
      <c r="B770" s="2" t="s">
        <v>1040</v>
      </c>
      <c r="C770" s="5" t="s">
        <v>1461</v>
      </c>
      <c r="D770" s="2" t="s">
        <v>1462</v>
      </c>
    </row>
    <row r="771" spans="1:4" ht="12.95" customHeight="1" x14ac:dyDescent="0.25">
      <c r="A771" s="2" t="s">
        <v>237</v>
      </c>
      <c r="B771" s="2" t="s">
        <v>1040</v>
      </c>
      <c r="C771" s="5" t="s">
        <v>1463</v>
      </c>
      <c r="D771" s="2" t="s">
        <v>1464</v>
      </c>
    </row>
    <row r="772" spans="1:4" ht="12.95" customHeight="1" x14ac:dyDescent="0.25">
      <c r="A772" s="2" t="s">
        <v>237</v>
      </c>
      <c r="B772" s="2" t="s">
        <v>1040</v>
      </c>
      <c r="C772" s="5" t="s">
        <v>1465</v>
      </c>
      <c r="D772" s="2" t="s">
        <v>1466</v>
      </c>
    </row>
    <row r="773" spans="1:4" ht="12.95" customHeight="1" x14ac:dyDescent="0.25">
      <c r="A773" s="2" t="s">
        <v>237</v>
      </c>
      <c r="B773" s="2" t="s">
        <v>1040</v>
      </c>
      <c r="C773" s="5" t="s">
        <v>1467</v>
      </c>
      <c r="D773" s="2" t="s">
        <v>1468</v>
      </c>
    </row>
    <row r="774" spans="1:4" ht="12.95" customHeight="1" x14ac:dyDescent="0.25">
      <c r="A774" s="2" t="s">
        <v>237</v>
      </c>
      <c r="B774" s="2" t="s">
        <v>1040</v>
      </c>
      <c r="C774" s="5" t="s">
        <v>1469</v>
      </c>
      <c r="D774" s="2" t="s">
        <v>1470</v>
      </c>
    </row>
    <row r="775" spans="1:4" ht="12.95" customHeight="1" x14ac:dyDescent="0.25">
      <c r="A775" s="2" t="s">
        <v>237</v>
      </c>
      <c r="B775" s="2" t="s">
        <v>1040</v>
      </c>
      <c r="C775" s="5" t="s">
        <v>1471</v>
      </c>
      <c r="D775" s="2" t="s">
        <v>1472</v>
      </c>
    </row>
    <row r="776" spans="1:4" ht="12.95" customHeight="1" x14ac:dyDescent="0.25">
      <c r="A776" s="2" t="s">
        <v>237</v>
      </c>
      <c r="B776" s="2" t="s">
        <v>1040</v>
      </c>
      <c r="C776" s="5" t="s">
        <v>1473</v>
      </c>
      <c r="D776" s="2" t="s">
        <v>1474</v>
      </c>
    </row>
    <row r="777" spans="1:4" ht="12.95" customHeight="1" x14ac:dyDescent="0.25">
      <c r="A777" s="2" t="s">
        <v>237</v>
      </c>
      <c r="B777" s="2" t="s">
        <v>1040</v>
      </c>
      <c r="C777" s="5" t="s">
        <v>1475</v>
      </c>
      <c r="D777" s="2" t="s">
        <v>1476</v>
      </c>
    </row>
    <row r="778" spans="1:4" ht="12.95" customHeight="1" x14ac:dyDescent="0.25">
      <c r="A778" s="2" t="s">
        <v>237</v>
      </c>
      <c r="B778" s="2" t="s">
        <v>1040</v>
      </c>
      <c r="C778" s="5" t="s">
        <v>1477</v>
      </c>
      <c r="D778" s="2" t="s">
        <v>1478</v>
      </c>
    </row>
    <row r="779" spans="1:4" ht="12.95" customHeight="1" x14ac:dyDescent="0.25">
      <c r="A779" s="2" t="s">
        <v>237</v>
      </c>
      <c r="B779" s="2" t="s">
        <v>1040</v>
      </c>
      <c r="C779" s="5" t="s">
        <v>1479</v>
      </c>
      <c r="D779" s="2" t="s">
        <v>1480</v>
      </c>
    </row>
    <row r="780" spans="1:4" ht="12.95" customHeight="1" x14ac:dyDescent="0.25">
      <c r="A780" s="2" t="s">
        <v>237</v>
      </c>
      <c r="B780" s="2" t="s">
        <v>1040</v>
      </c>
      <c r="C780" s="5" t="s">
        <v>1481</v>
      </c>
      <c r="D780" s="2" t="s">
        <v>1482</v>
      </c>
    </row>
    <row r="781" spans="1:4" ht="12.95" customHeight="1" x14ac:dyDescent="0.25">
      <c r="A781" s="2" t="s">
        <v>237</v>
      </c>
      <c r="B781" s="2" t="s">
        <v>1040</v>
      </c>
      <c r="C781" s="5" t="s">
        <v>1483</v>
      </c>
      <c r="D781" s="2" t="s">
        <v>1484</v>
      </c>
    </row>
    <row r="782" spans="1:4" ht="12.95" customHeight="1" x14ac:dyDescent="0.25">
      <c r="A782" s="2" t="s">
        <v>237</v>
      </c>
      <c r="B782" s="2" t="s">
        <v>1040</v>
      </c>
      <c r="C782" s="5" t="s">
        <v>1485</v>
      </c>
      <c r="D782" s="2" t="s">
        <v>1486</v>
      </c>
    </row>
    <row r="783" spans="1:4" ht="12.95" customHeight="1" x14ac:dyDescent="0.25">
      <c r="A783" s="2" t="s">
        <v>237</v>
      </c>
      <c r="B783" s="2" t="s">
        <v>1040</v>
      </c>
      <c r="C783" s="5" t="s">
        <v>1487</v>
      </c>
      <c r="D783" s="2" t="s">
        <v>1488</v>
      </c>
    </row>
    <row r="784" spans="1:4" ht="12.95" customHeight="1" x14ac:dyDescent="0.25">
      <c r="A784" s="2" t="s">
        <v>237</v>
      </c>
      <c r="B784" s="2" t="s">
        <v>1040</v>
      </c>
      <c r="C784" s="5" t="s">
        <v>1489</v>
      </c>
      <c r="D784" s="2" t="s">
        <v>1490</v>
      </c>
    </row>
    <row r="785" spans="1:4" ht="12.95" customHeight="1" x14ac:dyDescent="0.25">
      <c r="A785" s="2" t="s">
        <v>237</v>
      </c>
      <c r="B785" s="2" t="s">
        <v>1040</v>
      </c>
      <c r="C785" s="5" t="s">
        <v>1491</v>
      </c>
      <c r="D785" s="2" t="s">
        <v>1492</v>
      </c>
    </row>
    <row r="786" spans="1:4" ht="12.95" customHeight="1" x14ac:dyDescent="0.25">
      <c r="A786" s="2" t="s">
        <v>237</v>
      </c>
      <c r="B786" s="2" t="s">
        <v>1040</v>
      </c>
      <c r="C786" s="5" t="s">
        <v>1493</v>
      </c>
      <c r="D786" s="2" t="s">
        <v>1494</v>
      </c>
    </row>
    <row r="787" spans="1:4" ht="12.95" customHeight="1" x14ac:dyDescent="0.25">
      <c r="A787" s="2" t="s">
        <v>237</v>
      </c>
      <c r="B787" s="2" t="s">
        <v>1040</v>
      </c>
      <c r="C787" s="5" t="s">
        <v>1495</v>
      </c>
      <c r="D787" s="2" t="s">
        <v>1496</v>
      </c>
    </row>
    <row r="788" spans="1:4" ht="12.95" customHeight="1" x14ac:dyDescent="0.25">
      <c r="A788" s="2" t="s">
        <v>237</v>
      </c>
      <c r="B788" s="2" t="s">
        <v>1040</v>
      </c>
      <c r="C788" s="5" t="s">
        <v>1497</v>
      </c>
      <c r="D788" s="2" t="s">
        <v>1498</v>
      </c>
    </row>
    <row r="789" spans="1:4" ht="12.95" customHeight="1" x14ac:dyDescent="0.25">
      <c r="A789" s="2" t="s">
        <v>237</v>
      </c>
      <c r="B789" s="2" t="s">
        <v>1040</v>
      </c>
      <c r="C789" s="5" t="s">
        <v>1499</v>
      </c>
      <c r="D789" s="2" t="s">
        <v>1500</v>
      </c>
    </row>
    <row r="790" spans="1:4" ht="12.95" customHeight="1" x14ac:dyDescent="0.25">
      <c r="A790" s="2" t="s">
        <v>237</v>
      </c>
      <c r="B790" s="2" t="s">
        <v>1040</v>
      </c>
      <c r="C790" s="5" t="s">
        <v>1501</v>
      </c>
      <c r="D790" s="2" t="s">
        <v>1502</v>
      </c>
    </row>
    <row r="791" spans="1:4" ht="12.95" customHeight="1" x14ac:dyDescent="0.25">
      <c r="A791" s="2" t="s">
        <v>237</v>
      </c>
      <c r="B791" s="2" t="s">
        <v>1040</v>
      </c>
      <c r="C791" s="5" t="s">
        <v>1503</v>
      </c>
      <c r="D791" s="2" t="s">
        <v>1504</v>
      </c>
    </row>
    <row r="792" spans="1:4" ht="12.95" customHeight="1" x14ac:dyDescent="0.25">
      <c r="A792" s="2" t="s">
        <v>237</v>
      </c>
      <c r="B792" s="2" t="s">
        <v>1040</v>
      </c>
      <c r="C792" s="5" t="s">
        <v>1505</v>
      </c>
      <c r="D792" s="2" t="s">
        <v>1506</v>
      </c>
    </row>
    <row r="793" spans="1:4" ht="12.95" customHeight="1" x14ac:dyDescent="0.25">
      <c r="A793" s="2" t="s">
        <v>237</v>
      </c>
      <c r="B793" s="2" t="s">
        <v>1040</v>
      </c>
      <c r="C793" s="5" t="s">
        <v>1507</v>
      </c>
      <c r="D793" s="2" t="s">
        <v>1508</v>
      </c>
    </row>
    <row r="794" spans="1:4" ht="12.95" customHeight="1" x14ac:dyDescent="0.25">
      <c r="A794" s="2" t="s">
        <v>237</v>
      </c>
      <c r="B794" s="2" t="s">
        <v>1040</v>
      </c>
      <c r="C794" s="5" t="s">
        <v>1509</v>
      </c>
      <c r="D794" s="2" t="s">
        <v>1510</v>
      </c>
    </row>
    <row r="795" spans="1:4" ht="12.95" customHeight="1" x14ac:dyDescent="0.25">
      <c r="A795" s="2" t="s">
        <v>237</v>
      </c>
      <c r="B795" s="2" t="s">
        <v>1040</v>
      </c>
      <c r="C795" s="5" t="s">
        <v>1511</v>
      </c>
      <c r="D795" s="2" t="s">
        <v>1512</v>
      </c>
    </row>
    <row r="796" spans="1:4" ht="12.95" customHeight="1" x14ac:dyDescent="0.25">
      <c r="A796" s="2" t="s">
        <v>237</v>
      </c>
      <c r="B796" s="2" t="s">
        <v>1040</v>
      </c>
      <c r="C796" s="5" t="s">
        <v>1513</v>
      </c>
      <c r="D796" s="2" t="s">
        <v>1514</v>
      </c>
    </row>
    <row r="797" spans="1:4" ht="12.95" customHeight="1" x14ac:dyDescent="0.25">
      <c r="A797" s="2" t="s">
        <v>237</v>
      </c>
      <c r="B797" s="2" t="s">
        <v>1040</v>
      </c>
      <c r="C797" s="5" t="s">
        <v>1515</v>
      </c>
      <c r="D797" s="2" t="s">
        <v>1516</v>
      </c>
    </row>
    <row r="798" spans="1:4" ht="12.95" customHeight="1" x14ac:dyDescent="0.25">
      <c r="A798" s="2" t="s">
        <v>237</v>
      </c>
      <c r="B798" s="2" t="s">
        <v>1040</v>
      </c>
      <c r="C798" s="5" t="s">
        <v>1517</v>
      </c>
      <c r="D798" s="2" t="s">
        <v>1518</v>
      </c>
    </row>
    <row r="799" spans="1:4" ht="12.95" customHeight="1" x14ac:dyDescent="0.25">
      <c r="A799" s="2" t="s">
        <v>237</v>
      </c>
      <c r="B799" s="2" t="s">
        <v>1040</v>
      </c>
      <c r="C799" s="5" t="s">
        <v>1519</v>
      </c>
      <c r="D799" s="2" t="s">
        <v>1520</v>
      </c>
    </row>
    <row r="800" spans="1:4" ht="12.95" customHeight="1" x14ac:dyDescent="0.25">
      <c r="A800" s="2" t="s">
        <v>237</v>
      </c>
      <c r="B800" s="2" t="s">
        <v>1040</v>
      </c>
      <c r="C800" s="5" t="s">
        <v>1521</v>
      </c>
      <c r="D800" s="2" t="s">
        <v>1522</v>
      </c>
    </row>
    <row r="801" spans="1:4" ht="12.95" customHeight="1" x14ac:dyDescent="0.25">
      <c r="A801" s="2" t="s">
        <v>237</v>
      </c>
      <c r="B801" s="2" t="s">
        <v>1040</v>
      </c>
      <c r="C801" s="5" t="s">
        <v>1523</v>
      </c>
      <c r="D801" s="2" t="s">
        <v>1524</v>
      </c>
    </row>
    <row r="802" spans="1:4" ht="12.95" customHeight="1" x14ac:dyDescent="0.25">
      <c r="A802" s="2" t="s">
        <v>237</v>
      </c>
      <c r="B802" s="2" t="s">
        <v>1040</v>
      </c>
      <c r="C802" s="5" t="s">
        <v>1525</v>
      </c>
      <c r="D802" s="2" t="s">
        <v>1526</v>
      </c>
    </row>
    <row r="803" spans="1:4" ht="12.95" customHeight="1" x14ac:dyDescent="0.25">
      <c r="A803" s="2" t="s">
        <v>237</v>
      </c>
      <c r="B803" s="2" t="s">
        <v>1040</v>
      </c>
      <c r="C803" s="5" t="s">
        <v>1527</v>
      </c>
      <c r="D803" s="2" t="s">
        <v>1528</v>
      </c>
    </row>
    <row r="804" spans="1:4" ht="12.95" customHeight="1" x14ac:dyDescent="0.25">
      <c r="A804" s="2" t="s">
        <v>237</v>
      </c>
      <c r="B804" s="2" t="s">
        <v>1040</v>
      </c>
      <c r="C804" s="5" t="s">
        <v>1529</v>
      </c>
      <c r="D804" s="2" t="s">
        <v>1530</v>
      </c>
    </row>
    <row r="805" spans="1:4" ht="12.95" customHeight="1" x14ac:dyDescent="0.25">
      <c r="A805" s="2" t="s">
        <v>237</v>
      </c>
      <c r="B805" s="2" t="s">
        <v>1040</v>
      </c>
      <c r="C805" s="5" t="s">
        <v>1531</v>
      </c>
      <c r="D805" s="2" t="s">
        <v>1532</v>
      </c>
    </row>
    <row r="806" spans="1:4" ht="12.95" customHeight="1" x14ac:dyDescent="0.25">
      <c r="A806" s="2" t="s">
        <v>237</v>
      </c>
      <c r="B806" s="2" t="s">
        <v>1040</v>
      </c>
      <c r="C806" s="5" t="s">
        <v>1533</v>
      </c>
      <c r="D806" s="2" t="s">
        <v>1534</v>
      </c>
    </row>
    <row r="807" spans="1:4" ht="12.95" customHeight="1" x14ac:dyDescent="0.25">
      <c r="A807" s="2" t="s">
        <v>237</v>
      </c>
      <c r="B807" s="2" t="s">
        <v>1040</v>
      </c>
      <c r="C807" s="5" t="s">
        <v>1535</v>
      </c>
      <c r="D807" s="2" t="s">
        <v>1536</v>
      </c>
    </row>
    <row r="808" spans="1:4" ht="12.95" customHeight="1" x14ac:dyDescent="0.25">
      <c r="A808" s="2" t="s">
        <v>237</v>
      </c>
      <c r="B808" s="2" t="s">
        <v>1040</v>
      </c>
      <c r="C808" s="5" t="s">
        <v>1537</v>
      </c>
      <c r="D808" s="2" t="s">
        <v>1538</v>
      </c>
    </row>
    <row r="809" spans="1:4" ht="12.95" customHeight="1" x14ac:dyDescent="0.25">
      <c r="A809" s="2" t="s">
        <v>237</v>
      </c>
      <c r="B809" s="2" t="s">
        <v>1040</v>
      </c>
      <c r="C809" s="5" t="s">
        <v>1539</v>
      </c>
      <c r="D809" s="2" t="s">
        <v>1540</v>
      </c>
    </row>
    <row r="810" spans="1:4" ht="12.95" customHeight="1" x14ac:dyDescent="0.25">
      <c r="A810" s="2" t="s">
        <v>237</v>
      </c>
      <c r="B810" s="2" t="s">
        <v>1040</v>
      </c>
      <c r="C810" s="5" t="s">
        <v>1541</v>
      </c>
      <c r="D810" s="2" t="s">
        <v>1542</v>
      </c>
    </row>
    <row r="811" spans="1:4" ht="12.95" customHeight="1" x14ac:dyDescent="0.25">
      <c r="A811" s="2" t="s">
        <v>237</v>
      </c>
      <c r="B811" s="2" t="s">
        <v>1040</v>
      </c>
      <c r="C811" s="5" t="s">
        <v>1543</v>
      </c>
      <c r="D811" s="2" t="s">
        <v>1544</v>
      </c>
    </row>
    <row r="812" spans="1:4" ht="12.95" customHeight="1" x14ac:dyDescent="0.25">
      <c r="A812" s="2" t="s">
        <v>237</v>
      </c>
      <c r="B812" s="2" t="s">
        <v>1040</v>
      </c>
      <c r="C812" s="5" t="s">
        <v>1545</v>
      </c>
      <c r="D812" s="2" t="s">
        <v>1546</v>
      </c>
    </row>
    <row r="813" spans="1:4" ht="12.95" customHeight="1" x14ac:dyDescent="0.25">
      <c r="A813" s="2" t="s">
        <v>237</v>
      </c>
      <c r="B813" s="2" t="s">
        <v>1040</v>
      </c>
      <c r="C813" s="5" t="s">
        <v>1547</v>
      </c>
      <c r="D813" s="2" t="s">
        <v>1548</v>
      </c>
    </row>
    <row r="814" spans="1:4" ht="12.95" customHeight="1" x14ac:dyDescent="0.25">
      <c r="A814" s="2" t="s">
        <v>237</v>
      </c>
      <c r="B814" s="2" t="s">
        <v>1040</v>
      </c>
      <c r="C814" s="5" t="s">
        <v>1549</v>
      </c>
      <c r="D814" s="2" t="s">
        <v>1550</v>
      </c>
    </row>
    <row r="815" spans="1:4" ht="12.95" customHeight="1" x14ac:dyDescent="0.25">
      <c r="A815" s="2" t="s">
        <v>237</v>
      </c>
      <c r="B815" s="2" t="s">
        <v>1040</v>
      </c>
      <c r="C815" s="5" t="s">
        <v>1551</v>
      </c>
      <c r="D815" s="2" t="s">
        <v>1552</v>
      </c>
    </row>
    <row r="816" spans="1:4" ht="12.95" customHeight="1" x14ac:dyDescent="0.25">
      <c r="A816" s="2" t="s">
        <v>237</v>
      </c>
      <c r="B816" s="2" t="s">
        <v>1040</v>
      </c>
      <c r="C816" s="5" t="s">
        <v>1553</v>
      </c>
      <c r="D816" s="2" t="s">
        <v>1554</v>
      </c>
    </row>
    <row r="817" spans="1:4" ht="12.95" customHeight="1" x14ac:dyDescent="0.25">
      <c r="A817" s="2" t="s">
        <v>237</v>
      </c>
      <c r="B817" s="2" t="s">
        <v>1040</v>
      </c>
      <c r="C817" s="5" t="s">
        <v>1555</v>
      </c>
      <c r="D817" s="2" t="s">
        <v>1556</v>
      </c>
    </row>
    <row r="818" spans="1:4" ht="12.95" customHeight="1" x14ac:dyDescent="0.25">
      <c r="A818" s="2" t="s">
        <v>237</v>
      </c>
      <c r="B818" s="2" t="s">
        <v>1040</v>
      </c>
      <c r="C818" s="5" t="s">
        <v>1557</v>
      </c>
      <c r="D818" s="2" t="s">
        <v>1558</v>
      </c>
    </row>
    <row r="819" spans="1:4" ht="12.95" customHeight="1" x14ac:dyDescent="0.25">
      <c r="A819" s="2" t="s">
        <v>237</v>
      </c>
      <c r="B819" s="2" t="s">
        <v>1040</v>
      </c>
      <c r="C819" s="5" t="s">
        <v>1559</v>
      </c>
      <c r="D819" s="2" t="s">
        <v>1560</v>
      </c>
    </row>
    <row r="820" spans="1:4" ht="12.95" customHeight="1" x14ac:dyDescent="0.25">
      <c r="A820" s="2" t="s">
        <v>237</v>
      </c>
      <c r="B820" s="2" t="s">
        <v>1040</v>
      </c>
      <c r="C820" s="5" t="s">
        <v>1561</v>
      </c>
      <c r="D820" s="2" t="s">
        <v>1562</v>
      </c>
    </row>
    <row r="821" spans="1:4" ht="12.95" customHeight="1" x14ac:dyDescent="0.25">
      <c r="A821" s="2" t="s">
        <v>237</v>
      </c>
      <c r="B821" s="2" t="s">
        <v>1040</v>
      </c>
      <c r="C821" s="5" t="s">
        <v>1563</v>
      </c>
      <c r="D821" s="2" t="s">
        <v>1564</v>
      </c>
    </row>
    <row r="822" spans="1:4" ht="12.95" customHeight="1" x14ac:dyDescent="0.25">
      <c r="A822" s="2" t="s">
        <v>237</v>
      </c>
      <c r="B822" s="2" t="s">
        <v>1040</v>
      </c>
      <c r="C822" s="5" t="s">
        <v>1565</v>
      </c>
      <c r="D822" s="2" t="s">
        <v>1566</v>
      </c>
    </row>
    <row r="823" spans="1:4" ht="12.95" customHeight="1" x14ac:dyDescent="0.25">
      <c r="A823" s="2" t="s">
        <v>237</v>
      </c>
      <c r="B823" s="2" t="s">
        <v>1040</v>
      </c>
      <c r="C823" s="5" t="s">
        <v>1567</v>
      </c>
      <c r="D823" s="2" t="s">
        <v>1568</v>
      </c>
    </row>
    <row r="824" spans="1:4" ht="12.95" customHeight="1" x14ac:dyDescent="0.25">
      <c r="A824" s="2" t="s">
        <v>237</v>
      </c>
      <c r="B824" s="2" t="s">
        <v>1040</v>
      </c>
      <c r="C824" s="5" t="s">
        <v>1569</v>
      </c>
      <c r="D824" s="2" t="s">
        <v>1570</v>
      </c>
    </row>
    <row r="825" spans="1:4" ht="12.95" customHeight="1" x14ac:dyDescent="0.25">
      <c r="A825" s="2" t="s">
        <v>237</v>
      </c>
      <c r="B825" s="2" t="s">
        <v>1040</v>
      </c>
      <c r="C825" s="5" t="s">
        <v>1571</v>
      </c>
      <c r="D825" s="2" t="s">
        <v>1572</v>
      </c>
    </row>
    <row r="826" spans="1:4" ht="12.95" customHeight="1" x14ac:dyDescent="0.25">
      <c r="A826" s="2" t="s">
        <v>237</v>
      </c>
      <c r="B826" s="2" t="s">
        <v>1040</v>
      </c>
      <c r="C826" s="5" t="s">
        <v>1573</v>
      </c>
      <c r="D826" s="2" t="s">
        <v>1574</v>
      </c>
    </row>
    <row r="827" spans="1:4" ht="12.95" customHeight="1" x14ac:dyDescent="0.25">
      <c r="A827" s="2" t="s">
        <v>237</v>
      </c>
      <c r="B827" s="2" t="s">
        <v>1040</v>
      </c>
      <c r="C827" s="5" t="s">
        <v>1575</v>
      </c>
      <c r="D827" s="2" t="s">
        <v>1576</v>
      </c>
    </row>
    <row r="828" spans="1:4" ht="12.95" customHeight="1" x14ac:dyDescent="0.25">
      <c r="A828" s="2" t="s">
        <v>237</v>
      </c>
      <c r="B828" s="2" t="s">
        <v>1040</v>
      </c>
      <c r="C828" s="5" t="s">
        <v>1577</v>
      </c>
      <c r="D828" s="2" t="s">
        <v>1578</v>
      </c>
    </row>
    <row r="829" spans="1:4" ht="12.95" customHeight="1" x14ac:dyDescent="0.25">
      <c r="A829" s="2" t="s">
        <v>237</v>
      </c>
      <c r="B829" s="2" t="s">
        <v>1040</v>
      </c>
      <c r="C829" s="5" t="s">
        <v>1579</v>
      </c>
      <c r="D829" s="2" t="s">
        <v>1580</v>
      </c>
    </row>
    <row r="830" spans="1:4" ht="12.95" customHeight="1" x14ac:dyDescent="0.25">
      <c r="A830" s="2" t="s">
        <v>237</v>
      </c>
      <c r="B830" s="2" t="s">
        <v>1040</v>
      </c>
      <c r="C830" s="5" t="s">
        <v>1581</v>
      </c>
      <c r="D830" s="2" t="s">
        <v>1582</v>
      </c>
    </row>
    <row r="831" spans="1:4" ht="12.95" customHeight="1" x14ac:dyDescent="0.25">
      <c r="A831" s="2" t="s">
        <v>237</v>
      </c>
      <c r="B831" s="2" t="s">
        <v>1040</v>
      </c>
      <c r="C831" s="5" t="s">
        <v>1583</v>
      </c>
      <c r="D831" s="2" t="s">
        <v>1584</v>
      </c>
    </row>
    <row r="832" spans="1:4" ht="12.95" customHeight="1" x14ac:dyDescent="0.25">
      <c r="A832" s="2" t="s">
        <v>237</v>
      </c>
      <c r="B832" s="2" t="s">
        <v>1040</v>
      </c>
      <c r="C832" s="5" t="s">
        <v>1585</v>
      </c>
      <c r="D832" s="2" t="s">
        <v>1586</v>
      </c>
    </row>
    <row r="833" spans="1:4" ht="12.95" customHeight="1" x14ac:dyDescent="0.25">
      <c r="A833" s="2" t="s">
        <v>237</v>
      </c>
      <c r="B833" s="2" t="s">
        <v>1040</v>
      </c>
      <c r="C833" s="5" t="s">
        <v>1587</v>
      </c>
      <c r="D833" s="2" t="s">
        <v>1588</v>
      </c>
    </row>
    <row r="834" spans="1:4" ht="12.95" customHeight="1" x14ac:dyDescent="0.25">
      <c r="A834" s="2" t="s">
        <v>237</v>
      </c>
      <c r="B834" s="2" t="s">
        <v>1040</v>
      </c>
      <c r="C834" s="5" t="s">
        <v>1589</v>
      </c>
      <c r="D834" s="2" t="s">
        <v>1590</v>
      </c>
    </row>
    <row r="835" spans="1:4" ht="12.95" customHeight="1" x14ac:dyDescent="0.25">
      <c r="A835" s="2" t="s">
        <v>237</v>
      </c>
      <c r="B835" s="2" t="s">
        <v>1040</v>
      </c>
      <c r="C835" s="5" t="s">
        <v>1591</v>
      </c>
      <c r="D835" s="2" t="s">
        <v>1592</v>
      </c>
    </row>
    <row r="836" spans="1:4" ht="12.95" customHeight="1" x14ac:dyDescent="0.25">
      <c r="A836" s="2" t="s">
        <v>237</v>
      </c>
      <c r="B836" s="2" t="s">
        <v>1040</v>
      </c>
      <c r="C836" s="5" t="s">
        <v>1593</v>
      </c>
      <c r="D836" s="2" t="s">
        <v>1594</v>
      </c>
    </row>
    <row r="837" spans="1:4" ht="12.95" customHeight="1" x14ac:dyDescent="0.25">
      <c r="A837" s="2" t="s">
        <v>237</v>
      </c>
      <c r="B837" s="2" t="s">
        <v>1040</v>
      </c>
      <c r="C837" s="5" t="s">
        <v>1595</v>
      </c>
      <c r="D837" s="2" t="s">
        <v>1596</v>
      </c>
    </row>
    <row r="838" spans="1:4" ht="12.95" customHeight="1" x14ac:dyDescent="0.25">
      <c r="A838" s="2" t="s">
        <v>237</v>
      </c>
      <c r="B838" s="2" t="s">
        <v>1040</v>
      </c>
      <c r="C838" s="5" t="s">
        <v>1597</v>
      </c>
      <c r="D838" s="2" t="s">
        <v>1598</v>
      </c>
    </row>
    <row r="839" spans="1:4" ht="12.95" customHeight="1" x14ac:dyDescent="0.25">
      <c r="A839" s="2" t="s">
        <v>237</v>
      </c>
      <c r="B839" s="2" t="s">
        <v>1040</v>
      </c>
      <c r="C839" s="5" t="s">
        <v>1599</v>
      </c>
      <c r="D839" s="2" t="s">
        <v>1600</v>
      </c>
    </row>
    <row r="840" spans="1:4" ht="12.95" customHeight="1" x14ac:dyDescent="0.25">
      <c r="A840" s="2" t="s">
        <v>237</v>
      </c>
      <c r="B840" s="2" t="s">
        <v>1040</v>
      </c>
      <c r="C840" s="5" t="s">
        <v>1601</v>
      </c>
      <c r="D840" s="2" t="s">
        <v>1602</v>
      </c>
    </row>
    <row r="841" spans="1:4" ht="12.95" customHeight="1" x14ac:dyDescent="0.25">
      <c r="A841" s="2" t="s">
        <v>237</v>
      </c>
      <c r="B841" s="2" t="s">
        <v>1040</v>
      </c>
      <c r="C841" s="5" t="s">
        <v>1603</v>
      </c>
      <c r="D841" s="2" t="s">
        <v>1604</v>
      </c>
    </row>
    <row r="842" spans="1:4" ht="12.95" customHeight="1" x14ac:dyDescent="0.25">
      <c r="A842" s="2" t="s">
        <v>237</v>
      </c>
      <c r="B842" s="2" t="s">
        <v>1040</v>
      </c>
      <c r="C842" s="5" t="s">
        <v>1605</v>
      </c>
      <c r="D842" s="2" t="s">
        <v>1606</v>
      </c>
    </row>
    <row r="843" spans="1:4" ht="12.95" customHeight="1" x14ac:dyDescent="0.25">
      <c r="A843" s="2" t="s">
        <v>237</v>
      </c>
      <c r="B843" s="2" t="s">
        <v>1040</v>
      </c>
      <c r="C843" s="5" t="s">
        <v>1607</v>
      </c>
      <c r="D843" s="2" t="s">
        <v>1608</v>
      </c>
    </row>
    <row r="844" spans="1:4" ht="12.95" customHeight="1" x14ac:dyDescent="0.25">
      <c r="A844" s="2" t="s">
        <v>237</v>
      </c>
      <c r="B844" s="2" t="s">
        <v>1040</v>
      </c>
      <c r="C844" s="5" t="s">
        <v>1609</v>
      </c>
      <c r="D844" s="2" t="s">
        <v>1610</v>
      </c>
    </row>
    <row r="845" spans="1:4" ht="12.95" customHeight="1" x14ac:dyDescent="0.25">
      <c r="A845" s="2" t="s">
        <v>237</v>
      </c>
      <c r="B845" s="2" t="s">
        <v>1040</v>
      </c>
      <c r="C845" s="5" t="s">
        <v>1611</v>
      </c>
      <c r="D845" s="2" t="s">
        <v>1612</v>
      </c>
    </row>
    <row r="846" spans="1:4" ht="12.95" customHeight="1" x14ac:dyDescent="0.25">
      <c r="A846" s="2" t="s">
        <v>237</v>
      </c>
      <c r="B846" s="2" t="s">
        <v>1040</v>
      </c>
      <c r="C846" s="5" t="s">
        <v>1613</v>
      </c>
      <c r="D846" s="2" t="s">
        <v>1614</v>
      </c>
    </row>
    <row r="847" spans="1:4" ht="12.95" customHeight="1" x14ac:dyDescent="0.25">
      <c r="A847" s="2" t="s">
        <v>237</v>
      </c>
      <c r="B847" s="2" t="s">
        <v>1040</v>
      </c>
      <c r="C847" s="5" t="s">
        <v>1615</v>
      </c>
      <c r="D847" s="2" t="s">
        <v>1616</v>
      </c>
    </row>
    <row r="848" spans="1:4" ht="12.95" customHeight="1" x14ac:dyDescent="0.25">
      <c r="A848" s="2" t="s">
        <v>237</v>
      </c>
      <c r="B848" s="2" t="s">
        <v>1040</v>
      </c>
      <c r="C848" s="5" t="s">
        <v>1617</v>
      </c>
      <c r="D848" s="2" t="s">
        <v>1618</v>
      </c>
    </row>
    <row r="849" spans="1:4" ht="12.95" customHeight="1" x14ac:dyDescent="0.25">
      <c r="A849" s="2" t="s">
        <v>237</v>
      </c>
      <c r="B849" s="2" t="s">
        <v>1040</v>
      </c>
      <c r="C849" s="5" t="s">
        <v>1619</v>
      </c>
      <c r="D849" s="2" t="s">
        <v>1620</v>
      </c>
    </row>
    <row r="850" spans="1:4" ht="12.95" customHeight="1" x14ac:dyDescent="0.25">
      <c r="A850" s="2" t="s">
        <v>237</v>
      </c>
      <c r="B850" s="2" t="s">
        <v>1040</v>
      </c>
      <c r="C850" s="5" t="s">
        <v>1621</v>
      </c>
      <c r="D850" s="2" t="s">
        <v>1622</v>
      </c>
    </row>
    <row r="851" spans="1:4" ht="12.95" customHeight="1" x14ac:dyDescent="0.25">
      <c r="A851" s="2" t="s">
        <v>237</v>
      </c>
      <c r="B851" s="2" t="s">
        <v>1040</v>
      </c>
      <c r="C851" s="5" t="s">
        <v>1623</v>
      </c>
      <c r="D851" s="2" t="s">
        <v>1624</v>
      </c>
    </row>
    <row r="852" spans="1:4" ht="12.95" customHeight="1" x14ac:dyDescent="0.25">
      <c r="A852" s="2" t="s">
        <v>237</v>
      </c>
      <c r="B852" s="2" t="s">
        <v>1040</v>
      </c>
      <c r="C852" s="5" t="s">
        <v>1625</v>
      </c>
      <c r="D852" s="2" t="s">
        <v>1626</v>
      </c>
    </row>
    <row r="853" spans="1:4" ht="12.95" customHeight="1" x14ac:dyDescent="0.25">
      <c r="A853" s="2" t="s">
        <v>237</v>
      </c>
      <c r="B853" s="2" t="s">
        <v>1040</v>
      </c>
      <c r="C853" s="5" t="s">
        <v>1627</v>
      </c>
      <c r="D853" s="2" t="s">
        <v>1628</v>
      </c>
    </row>
    <row r="854" spans="1:4" ht="12.95" customHeight="1" x14ac:dyDescent="0.25">
      <c r="A854" s="2" t="s">
        <v>237</v>
      </c>
      <c r="B854" s="2" t="s">
        <v>1040</v>
      </c>
      <c r="C854" s="5" t="s">
        <v>1629</v>
      </c>
      <c r="D854" s="2" t="s">
        <v>1630</v>
      </c>
    </row>
    <row r="855" spans="1:4" ht="12.95" customHeight="1" x14ac:dyDescent="0.25">
      <c r="A855" s="2" t="s">
        <v>237</v>
      </c>
      <c r="B855" s="2" t="s">
        <v>1040</v>
      </c>
      <c r="C855" s="5" t="s">
        <v>1631</v>
      </c>
      <c r="D855" s="2" t="s">
        <v>1632</v>
      </c>
    </row>
    <row r="856" spans="1:4" ht="12.95" customHeight="1" x14ac:dyDescent="0.25">
      <c r="A856" s="2" t="s">
        <v>237</v>
      </c>
      <c r="B856" s="2" t="s">
        <v>1040</v>
      </c>
      <c r="C856" s="5" t="s">
        <v>1633</v>
      </c>
      <c r="D856" s="2" t="s">
        <v>1634</v>
      </c>
    </row>
    <row r="857" spans="1:4" ht="12.95" customHeight="1" x14ac:dyDescent="0.25">
      <c r="A857" s="2" t="s">
        <v>237</v>
      </c>
      <c r="B857" s="2" t="s">
        <v>1040</v>
      </c>
      <c r="C857" s="5" t="s">
        <v>1635</v>
      </c>
      <c r="D857" s="2" t="s">
        <v>1636</v>
      </c>
    </row>
    <row r="858" spans="1:4" ht="12.95" customHeight="1" x14ac:dyDescent="0.25">
      <c r="A858" s="2" t="s">
        <v>237</v>
      </c>
      <c r="B858" s="2" t="s">
        <v>1040</v>
      </c>
      <c r="C858" s="5" t="s">
        <v>1637</v>
      </c>
      <c r="D858" s="2" t="s">
        <v>1638</v>
      </c>
    </row>
    <row r="859" spans="1:4" ht="12.95" customHeight="1" x14ac:dyDescent="0.25">
      <c r="A859" s="2" t="s">
        <v>237</v>
      </c>
      <c r="B859" s="2" t="s">
        <v>1040</v>
      </c>
      <c r="C859" s="5" t="s">
        <v>1639</v>
      </c>
      <c r="D859" s="2" t="s">
        <v>1640</v>
      </c>
    </row>
    <row r="860" spans="1:4" ht="12.95" customHeight="1" x14ac:dyDescent="0.25">
      <c r="A860" s="2" t="s">
        <v>237</v>
      </c>
      <c r="B860" s="2" t="s">
        <v>1040</v>
      </c>
      <c r="C860" s="5" t="s">
        <v>1641</v>
      </c>
      <c r="D860" s="2" t="s">
        <v>1642</v>
      </c>
    </row>
    <row r="861" spans="1:4" ht="12.95" customHeight="1" x14ac:dyDescent="0.25">
      <c r="A861" s="2" t="s">
        <v>237</v>
      </c>
      <c r="B861" s="2" t="s">
        <v>1040</v>
      </c>
      <c r="C861" s="5" t="s">
        <v>1643</v>
      </c>
      <c r="D861" s="2" t="s">
        <v>1644</v>
      </c>
    </row>
    <row r="862" spans="1:4" ht="12.95" customHeight="1" x14ac:dyDescent="0.25">
      <c r="A862" s="2" t="s">
        <v>237</v>
      </c>
      <c r="B862" s="2" t="s">
        <v>1040</v>
      </c>
      <c r="C862" s="5" t="s">
        <v>1645</v>
      </c>
      <c r="D862" s="2" t="s">
        <v>1646</v>
      </c>
    </row>
    <row r="863" spans="1:4" ht="12.95" customHeight="1" x14ac:dyDescent="0.25">
      <c r="A863" s="2" t="s">
        <v>237</v>
      </c>
      <c r="B863" s="2" t="s">
        <v>1040</v>
      </c>
      <c r="C863" s="5" t="s">
        <v>1647</v>
      </c>
      <c r="D863" s="2" t="s">
        <v>1648</v>
      </c>
    </row>
    <row r="864" spans="1:4" ht="12.95" customHeight="1" x14ac:dyDescent="0.25">
      <c r="A864" s="2" t="s">
        <v>237</v>
      </c>
      <c r="B864" s="2" t="s">
        <v>1040</v>
      </c>
      <c r="C864" s="5" t="s">
        <v>1649</v>
      </c>
      <c r="D864" s="2" t="s">
        <v>1650</v>
      </c>
    </row>
    <row r="865" spans="1:4" ht="12.95" customHeight="1" x14ac:dyDescent="0.25">
      <c r="A865" s="2" t="s">
        <v>237</v>
      </c>
      <c r="B865" s="2" t="s">
        <v>1040</v>
      </c>
      <c r="C865" s="5" t="s">
        <v>1651</v>
      </c>
      <c r="D865" s="2" t="s">
        <v>1652</v>
      </c>
    </row>
    <row r="866" spans="1:4" ht="12.95" customHeight="1" x14ac:dyDescent="0.25">
      <c r="A866" s="2" t="s">
        <v>237</v>
      </c>
      <c r="B866" s="2" t="s">
        <v>1040</v>
      </c>
      <c r="C866" s="5" t="s">
        <v>1653</v>
      </c>
      <c r="D866" s="2" t="s">
        <v>1654</v>
      </c>
    </row>
    <row r="867" spans="1:4" ht="12.95" customHeight="1" x14ac:dyDescent="0.25">
      <c r="A867" s="2" t="s">
        <v>237</v>
      </c>
      <c r="B867" s="2" t="s">
        <v>1040</v>
      </c>
      <c r="C867" s="5" t="s">
        <v>1655</v>
      </c>
      <c r="D867" s="2" t="s">
        <v>1656</v>
      </c>
    </row>
    <row r="868" spans="1:4" ht="12.95" customHeight="1" x14ac:dyDescent="0.25">
      <c r="A868" s="2" t="s">
        <v>237</v>
      </c>
      <c r="B868" s="2" t="s">
        <v>1040</v>
      </c>
      <c r="C868" s="5" t="s">
        <v>1657</v>
      </c>
      <c r="D868" s="2" t="s">
        <v>1658</v>
      </c>
    </row>
    <row r="869" spans="1:4" ht="12.95" customHeight="1" x14ac:dyDescent="0.25">
      <c r="A869" s="2" t="s">
        <v>237</v>
      </c>
      <c r="B869" s="2" t="s">
        <v>1040</v>
      </c>
      <c r="C869" s="5" t="s">
        <v>1659</v>
      </c>
      <c r="D869" s="2" t="s">
        <v>1660</v>
      </c>
    </row>
    <row r="870" spans="1:4" ht="12.95" customHeight="1" x14ac:dyDescent="0.25">
      <c r="A870" s="2" t="s">
        <v>237</v>
      </c>
      <c r="B870" s="2" t="s">
        <v>1040</v>
      </c>
      <c r="C870" s="5" t="s">
        <v>1661</v>
      </c>
      <c r="D870" s="2" t="s">
        <v>1662</v>
      </c>
    </row>
    <row r="871" spans="1:4" ht="12.95" customHeight="1" x14ac:dyDescent="0.25">
      <c r="A871" s="2" t="s">
        <v>237</v>
      </c>
      <c r="B871" s="2" t="s">
        <v>1040</v>
      </c>
      <c r="C871" s="5" t="s">
        <v>1663</v>
      </c>
      <c r="D871" s="2" t="s">
        <v>1664</v>
      </c>
    </row>
    <row r="872" spans="1:4" ht="12.95" customHeight="1" x14ac:dyDescent="0.25">
      <c r="A872" s="2" t="s">
        <v>237</v>
      </c>
      <c r="B872" s="2" t="s">
        <v>1040</v>
      </c>
      <c r="C872" s="5" t="s">
        <v>1665</v>
      </c>
      <c r="D872" s="2" t="s">
        <v>1666</v>
      </c>
    </row>
    <row r="873" spans="1:4" ht="12.95" customHeight="1" x14ac:dyDescent="0.25">
      <c r="A873" s="2" t="s">
        <v>237</v>
      </c>
      <c r="B873" s="2" t="s">
        <v>1040</v>
      </c>
      <c r="C873" s="5" t="s">
        <v>1667</v>
      </c>
      <c r="D873" s="2" t="s">
        <v>1668</v>
      </c>
    </row>
    <row r="874" spans="1:4" ht="12.95" customHeight="1" x14ac:dyDescent="0.25">
      <c r="A874" s="2" t="s">
        <v>237</v>
      </c>
      <c r="B874" s="2" t="s">
        <v>1040</v>
      </c>
      <c r="C874" s="5" t="s">
        <v>1669</v>
      </c>
      <c r="D874" s="2" t="s">
        <v>1670</v>
      </c>
    </row>
    <row r="875" spans="1:4" ht="12.95" customHeight="1" x14ac:dyDescent="0.25">
      <c r="A875" s="2" t="s">
        <v>237</v>
      </c>
      <c r="B875" s="2" t="s">
        <v>1040</v>
      </c>
      <c r="C875" s="5" t="s">
        <v>1671</v>
      </c>
      <c r="D875" s="2" t="s">
        <v>1672</v>
      </c>
    </row>
    <row r="876" spans="1:4" ht="12.95" customHeight="1" x14ac:dyDescent="0.25">
      <c r="A876" s="2" t="s">
        <v>237</v>
      </c>
      <c r="B876" s="2" t="s">
        <v>1040</v>
      </c>
      <c r="C876" s="5" t="s">
        <v>1673</v>
      </c>
      <c r="D876" s="2" t="s">
        <v>1674</v>
      </c>
    </row>
    <row r="877" spans="1:4" ht="12.95" customHeight="1" x14ac:dyDescent="0.25">
      <c r="A877" s="2" t="s">
        <v>237</v>
      </c>
      <c r="B877" s="2" t="s">
        <v>1040</v>
      </c>
      <c r="C877" s="5" t="s">
        <v>1675</v>
      </c>
      <c r="D877" s="2" t="s">
        <v>1676</v>
      </c>
    </row>
    <row r="878" spans="1:4" ht="12.95" customHeight="1" x14ac:dyDescent="0.25">
      <c r="A878" s="2" t="s">
        <v>237</v>
      </c>
      <c r="B878" s="2" t="s">
        <v>1040</v>
      </c>
      <c r="C878" s="5" t="s">
        <v>1677</v>
      </c>
      <c r="D878" s="2" t="s">
        <v>1678</v>
      </c>
    </row>
    <row r="879" spans="1:4" ht="12.95" customHeight="1" x14ac:dyDescent="0.25">
      <c r="A879" s="2" t="s">
        <v>237</v>
      </c>
      <c r="B879" s="2" t="s">
        <v>1040</v>
      </c>
      <c r="C879" s="5" t="s">
        <v>1679</v>
      </c>
      <c r="D879" s="2" t="s">
        <v>1680</v>
      </c>
    </row>
    <row r="880" spans="1:4" ht="12.95" customHeight="1" x14ac:dyDescent="0.25">
      <c r="A880" s="2" t="s">
        <v>237</v>
      </c>
      <c r="B880" s="2" t="s">
        <v>1040</v>
      </c>
      <c r="C880" s="5" t="s">
        <v>1681</v>
      </c>
      <c r="D880" s="2" t="s">
        <v>1682</v>
      </c>
    </row>
    <row r="881" spans="1:4" ht="12.95" customHeight="1" x14ac:dyDescent="0.25">
      <c r="A881" s="2" t="s">
        <v>237</v>
      </c>
      <c r="B881" s="2" t="s">
        <v>1040</v>
      </c>
      <c r="C881" s="5" t="s">
        <v>1683</v>
      </c>
      <c r="D881" s="2" t="s">
        <v>1684</v>
      </c>
    </row>
    <row r="882" spans="1:4" ht="12.95" customHeight="1" x14ac:dyDescent="0.25">
      <c r="A882" s="2" t="s">
        <v>237</v>
      </c>
      <c r="B882" s="2" t="s">
        <v>1040</v>
      </c>
      <c r="C882" s="5" t="s">
        <v>1685</v>
      </c>
      <c r="D882" s="2" t="s">
        <v>1686</v>
      </c>
    </row>
    <row r="883" spans="1:4" ht="12.95" customHeight="1" x14ac:dyDescent="0.25">
      <c r="A883" s="2" t="s">
        <v>237</v>
      </c>
      <c r="B883" s="2" t="s">
        <v>1040</v>
      </c>
      <c r="C883" s="5" t="s">
        <v>1687</v>
      </c>
      <c r="D883" s="2" t="s">
        <v>1688</v>
      </c>
    </row>
    <row r="884" spans="1:4" ht="12.95" customHeight="1" x14ac:dyDescent="0.25">
      <c r="A884" s="2" t="s">
        <v>237</v>
      </c>
      <c r="B884" s="2" t="s">
        <v>1040</v>
      </c>
      <c r="C884" s="5" t="s">
        <v>1689</v>
      </c>
      <c r="D884" s="2" t="s">
        <v>1690</v>
      </c>
    </row>
    <row r="885" spans="1:4" ht="12.95" customHeight="1" x14ac:dyDescent="0.25">
      <c r="A885" s="2" t="s">
        <v>237</v>
      </c>
      <c r="B885" s="2" t="s">
        <v>1040</v>
      </c>
      <c r="C885" s="5" t="s">
        <v>1691</v>
      </c>
      <c r="D885" s="2" t="s">
        <v>1692</v>
      </c>
    </row>
    <row r="886" spans="1:4" ht="12.95" customHeight="1" x14ac:dyDescent="0.25">
      <c r="A886" s="2" t="s">
        <v>237</v>
      </c>
      <c r="B886" s="2" t="s">
        <v>1040</v>
      </c>
      <c r="C886" s="5" t="s">
        <v>1693</v>
      </c>
      <c r="D886" s="2" t="s">
        <v>1694</v>
      </c>
    </row>
    <row r="887" spans="1:4" ht="12.95" customHeight="1" x14ac:dyDescent="0.25">
      <c r="A887" s="2" t="s">
        <v>237</v>
      </c>
      <c r="B887" s="2" t="s">
        <v>1040</v>
      </c>
      <c r="C887" s="5" t="s">
        <v>1695</v>
      </c>
      <c r="D887" s="2" t="s">
        <v>1696</v>
      </c>
    </row>
    <row r="888" spans="1:4" ht="12.95" customHeight="1" x14ac:dyDescent="0.25">
      <c r="A888" s="2" t="s">
        <v>237</v>
      </c>
      <c r="B888" s="2" t="s">
        <v>1040</v>
      </c>
      <c r="C888" s="5" t="s">
        <v>1697</v>
      </c>
      <c r="D888" s="2" t="s">
        <v>1698</v>
      </c>
    </row>
    <row r="889" spans="1:4" ht="12.95" customHeight="1" x14ac:dyDescent="0.25">
      <c r="A889" s="2" t="s">
        <v>237</v>
      </c>
      <c r="B889" s="2" t="s">
        <v>1040</v>
      </c>
      <c r="C889" s="5" t="s">
        <v>1699</v>
      </c>
      <c r="D889" s="2" t="s">
        <v>1700</v>
      </c>
    </row>
    <row r="890" spans="1:4" ht="12.95" customHeight="1" x14ac:dyDescent="0.25">
      <c r="A890" s="2" t="s">
        <v>237</v>
      </c>
      <c r="B890" s="2" t="s">
        <v>1040</v>
      </c>
      <c r="C890" s="5" t="s">
        <v>1701</v>
      </c>
      <c r="D890" s="2" t="s">
        <v>1702</v>
      </c>
    </row>
    <row r="891" spans="1:4" ht="12.95" customHeight="1" x14ac:dyDescent="0.25">
      <c r="A891" s="2" t="s">
        <v>237</v>
      </c>
      <c r="B891" s="2" t="s">
        <v>1040</v>
      </c>
      <c r="C891" s="5" t="s">
        <v>1703</v>
      </c>
      <c r="D891" s="2" t="s">
        <v>1704</v>
      </c>
    </row>
    <row r="892" spans="1:4" ht="12.95" customHeight="1" x14ac:dyDescent="0.25">
      <c r="A892" s="2" t="s">
        <v>237</v>
      </c>
      <c r="B892" s="2" t="s">
        <v>1040</v>
      </c>
      <c r="C892" s="5" t="s">
        <v>1705</v>
      </c>
      <c r="D892" s="2" t="s">
        <v>1706</v>
      </c>
    </row>
    <row r="893" spans="1:4" ht="12.95" customHeight="1" x14ac:dyDescent="0.25">
      <c r="A893" s="2" t="s">
        <v>237</v>
      </c>
      <c r="B893" s="2" t="s">
        <v>1040</v>
      </c>
      <c r="C893" s="5" t="s">
        <v>1707</v>
      </c>
      <c r="D893" s="2" t="s">
        <v>1708</v>
      </c>
    </row>
    <row r="894" spans="1:4" ht="12.95" customHeight="1" x14ac:dyDescent="0.25">
      <c r="A894" s="2" t="s">
        <v>237</v>
      </c>
      <c r="B894" s="2" t="s">
        <v>1040</v>
      </c>
      <c r="C894" s="5" t="s">
        <v>1709</v>
      </c>
      <c r="D894" s="2" t="s">
        <v>1710</v>
      </c>
    </row>
    <row r="895" spans="1:4" ht="12.95" customHeight="1" x14ac:dyDescent="0.25">
      <c r="A895" s="2" t="s">
        <v>237</v>
      </c>
      <c r="B895" s="2" t="s">
        <v>1040</v>
      </c>
      <c r="C895" s="5" t="s">
        <v>1711</v>
      </c>
      <c r="D895" s="2" t="s">
        <v>1712</v>
      </c>
    </row>
    <row r="896" spans="1:4" ht="12.95" customHeight="1" x14ac:dyDescent="0.25">
      <c r="A896" s="2" t="s">
        <v>237</v>
      </c>
      <c r="B896" s="2" t="s">
        <v>1040</v>
      </c>
      <c r="C896" s="5" t="s">
        <v>1713</v>
      </c>
      <c r="D896" s="2" t="s">
        <v>1714</v>
      </c>
    </row>
    <row r="897" spans="1:4" ht="12.95" customHeight="1" x14ac:dyDescent="0.25">
      <c r="A897" s="2" t="s">
        <v>237</v>
      </c>
      <c r="B897" s="2" t="s">
        <v>1040</v>
      </c>
      <c r="C897" s="5" t="s">
        <v>1715</v>
      </c>
      <c r="D897" s="2" t="s">
        <v>1716</v>
      </c>
    </row>
    <row r="898" spans="1:4" ht="12.95" customHeight="1" x14ac:dyDescent="0.25">
      <c r="A898" s="2" t="s">
        <v>237</v>
      </c>
      <c r="B898" s="2" t="s">
        <v>1040</v>
      </c>
      <c r="C898" s="5" t="s">
        <v>1717</v>
      </c>
      <c r="D898" s="2" t="s">
        <v>1718</v>
      </c>
    </row>
    <row r="899" spans="1:4" ht="12.95" customHeight="1" x14ac:dyDescent="0.25">
      <c r="A899" s="2" t="s">
        <v>237</v>
      </c>
      <c r="B899" s="2" t="s">
        <v>1040</v>
      </c>
      <c r="C899" s="5" t="s">
        <v>1719</v>
      </c>
      <c r="D899" s="2" t="s">
        <v>1720</v>
      </c>
    </row>
    <row r="900" spans="1:4" ht="12.95" customHeight="1" x14ac:dyDescent="0.25">
      <c r="A900" s="2" t="s">
        <v>237</v>
      </c>
      <c r="B900" s="2" t="s">
        <v>1040</v>
      </c>
      <c r="C900" s="5" t="s">
        <v>1721</v>
      </c>
      <c r="D900" s="2" t="s">
        <v>1722</v>
      </c>
    </row>
    <row r="901" spans="1:4" ht="12.95" customHeight="1" x14ac:dyDescent="0.25">
      <c r="A901" s="2" t="s">
        <v>237</v>
      </c>
      <c r="B901" s="2" t="s">
        <v>1040</v>
      </c>
      <c r="C901" s="5" t="s">
        <v>1723</v>
      </c>
      <c r="D901" s="2" t="s">
        <v>1724</v>
      </c>
    </row>
    <row r="902" spans="1:4" ht="12.95" customHeight="1" x14ac:dyDescent="0.25">
      <c r="A902" s="2" t="s">
        <v>237</v>
      </c>
      <c r="B902" s="2" t="s">
        <v>1040</v>
      </c>
      <c r="C902" s="5" t="s">
        <v>1725</v>
      </c>
      <c r="D902" s="2" t="s">
        <v>1726</v>
      </c>
    </row>
    <row r="903" spans="1:4" ht="12.95" customHeight="1" x14ac:dyDescent="0.25">
      <c r="A903" s="2" t="s">
        <v>237</v>
      </c>
      <c r="B903" s="2" t="s">
        <v>1040</v>
      </c>
      <c r="C903" s="5" t="s">
        <v>1727</v>
      </c>
      <c r="D903" s="2" t="s">
        <v>1728</v>
      </c>
    </row>
    <row r="904" spans="1:4" ht="12.95" customHeight="1" x14ac:dyDescent="0.25">
      <c r="A904" s="2" t="s">
        <v>237</v>
      </c>
      <c r="B904" s="2" t="s">
        <v>1040</v>
      </c>
      <c r="C904" s="5" t="s">
        <v>1729</v>
      </c>
      <c r="D904" s="2" t="s">
        <v>1730</v>
      </c>
    </row>
    <row r="905" spans="1:4" ht="12.95" customHeight="1" x14ac:dyDescent="0.25">
      <c r="A905" s="2" t="s">
        <v>237</v>
      </c>
      <c r="B905" s="2" t="s">
        <v>1040</v>
      </c>
      <c r="C905" s="5" t="s">
        <v>1731</v>
      </c>
      <c r="D905" s="2" t="s">
        <v>1732</v>
      </c>
    </row>
    <row r="906" spans="1:4" ht="12.95" customHeight="1" x14ac:dyDescent="0.25">
      <c r="A906" s="2" t="s">
        <v>237</v>
      </c>
      <c r="B906" s="2" t="s">
        <v>1040</v>
      </c>
      <c r="C906" s="5" t="s">
        <v>1733</v>
      </c>
      <c r="D906" s="2" t="s">
        <v>1734</v>
      </c>
    </row>
    <row r="907" spans="1:4" ht="12.95" customHeight="1" x14ac:dyDescent="0.25">
      <c r="A907" s="2" t="s">
        <v>237</v>
      </c>
      <c r="B907" s="2" t="s">
        <v>1040</v>
      </c>
      <c r="C907" s="5" t="s">
        <v>1735</v>
      </c>
      <c r="D907" s="2" t="s">
        <v>1736</v>
      </c>
    </row>
    <row r="908" spans="1:4" ht="12.95" customHeight="1" x14ac:dyDescent="0.25">
      <c r="A908" s="2" t="s">
        <v>237</v>
      </c>
      <c r="B908" s="2" t="s">
        <v>1040</v>
      </c>
      <c r="C908" s="5" t="s">
        <v>1737</v>
      </c>
      <c r="D908" s="2" t="s">
        <v>1738</v>
      </c>
    </row>
    <row r="909" spans="1:4" ht="12.95" customHeight="1" x14ac:dyDescent="0.25">
      <c r="A909" s="2" t="s">
        <v>237</v>
      </c>
      <c r="B909" s="2" t="s">
        <v>1040</v>
      </c>
      <c r="C909" s="5" t="s">
        <v>1739</v>
      </c>
      <c r="D909" s="2" t="s">
        <v>1740</v>
      </c>
    </row>
    <row r="910" spans="1:4" ht="12.95" customHeight="1" x14ac:dyDescent="0.25">
      <c r="A910" s="2" t="s">
        <v>237</v>
      </c>
      <c r="B910" s="2" t="s">
        <v>1040</v>
      </c>
      <c r="C910" s="5" t="s">
        <v>1741</v>
      </c>
      <c r="D910" s="2" t="s">
        <v>1742</v>
      </c>
    </row>
    <row r="911" spans="1:4" ht="12.95" customHeight="1" x14ac:dyDescent="0.25">
      <c r="A911" s="2" t="s">
        <v>237</v>
      </c>
      <c r="B911" s="2" t="s">
        <v>1040</v>
      </c>
      <c r="C911" s="5" t="s">
        <v>1743</v>
      </c>
      <c r="D911" s="2" t="s">
        <v>1744</v>
      </c>
    </row>
    <row r="912" spans="1:4" ht="12.95" customHeight="1" x14ac:dyDescent="0.25">
      <c r="A912" s="2" t="s">
        <v>237</v>
      </c>
      <c r="B912" s="2" t="s">
        <v>1040</v>
      </c>
      <c r="C912" s="5" t="s">
        <v>1745</v>
      </c>
      <c r="D912" s="2" t="s">
        <v>1746</v>
      </c>
    </row>
    <row r="913" spans="1:4" ht="12.95" customHeight="1" x14ac:dyDescent="0.25">
      <c r="A913" s="2" t="s">
        <v>237</v>
      </c>
      <c r="B913" s="2" t="s">
        <v>1040</v>
      </c>
      <c r="C913" s="5" t="s">
        <v>1747</v>
      </c>
      <c r="D913" s="2" t="s">
        <v>1748</v>
      </c>
    </row>
    <row r="914" spans="1:4" ht="12.95" customHeight="1" x14ac:dyDescent="0.25">
      <c r="A914" s="2" t="s">
        <v>237</v>
      </c>
      <c r="B914" s="2" t="s">
        <v>1040</v>
      </c>
      <c r="C914" s="5" t="s">
        <v>1749</v>
      </c>
      <c r="D914" s="2" t="s">
        <v>1750</v>
      </c>
    </row>
    <row r="915" spans="1:4" ht="12.95" customHeight="1" x14ac:dyDescent="0.25">
      <c r="A915" s="2" t="s">
        <v>237</v>
      </c>
      <c r="B915" s="2" t="s">
        <v>1040</v>
      </c>
      <c r="C915" s="5" t="s">
        <v>1751</v>
      </c>
      <c r="D915" s="2" t="s">
        <v>1752</v>
      </c>
    </row>
    <row r="916" spans="1:4" ht="12.95" customHeight="1" x14ac:dyDescent="0.25">
      <c r="A916" s="2" t="s">
        <v>237</v>
      </c>
      <c r="B916" s="2" t="s">
        <v>1040</v>
      </c>
      <c r="C916" s="5" t="s">
        <v>1753</v>
      </c>
      <c r="D916" s="2" t="s">
        <v>1754</v>
      </c>
    </row>
    <row r="917" spans="1:4" ht="12.95" customHeight="1" x14ac:dyDescent="0.25">
      <c r="A917" s="2" t="s">
        <v>237</v>
      </c>
      <c r="B917" s="2" t="s">
        <v>1040</v>
      </c>
      <c r="C917" s="5" t="s">
        <v>1755</v>
      </c>
      <c r="D917" s="2" t="s">
        <v>1756</v>
      </c>
    </row>
    <row r="918" spans="1:4" ht="12.95" customHeight="1" x14ac:dyDescent="0.25">
      <c r="A918" s="2" t="s">
        <v>237</v>
      </c>
      <c r="B918" s="2" t="s">
        <v>1040</v>
      </c>
      <c r="C918" s="5" t="s">
        <v>1757</v>
      </c>
      <c r="D918" s="2" t="s">
        <v>1758</v>
      </c>
    </row>
    <row r="919" spans="1:4" ht="12.95" customHeight="1" x14ac:dyDescent="0.25">
      <c r="A919" s="2" t="s">
        <v>237</v>
      </c>
      <c r="B919" s="2" t="s">
        <v>1040</v>
      </c>
      <c r="C919" s="5" t="s">
        <v>1759</v>
      </c>
      <c r="D919" s="2" t="s">
        <v>1760</v>
      </c>
    </row>
    <row r="920" spans="1:4" ht="12.95" customHeight="1" x14ac:dyDescent="0.25">
      <c r="A920" s="2" t="s">
        <v>237</v>
      </c>
      <c r="B920" s="2" t="s">
        <v>1040</v>
      </c>
      <c r="C920" s="5" t="s">
        <v>1761</v>
      </c>
      <c r="D920" s="2" t="s">
        <v>1762</v>
      </c>
    </row>
    <row r="921" spans="1:4" ht="12.95" customHeight="1" x14ac:dyDescent="0.25">
      <c r="A921" s="2" t="s">
        <v>237</v>
      </c>
      <c r="B921" s="2" t="s">
        <v>1040</v>
      </c>
      <c r="C921" s="5" t="s">
        <v>1763</v>
      </c>
      <c r="D921" s="2" t="s">
        <v>1764</v>
      </c>
    </row>
    <row r="922" spans="1:4" ht="12.95" customHeight="1" x14ac:dyDescent="0.25">
      <c r="A922" s="2" t="s">
        <v>237</v>
      </c>
      <c r="B922" s="2" t="s">
        <v>1040</v>
      </c>
      <c r="C922" s="5" t="s">
        <v>1765</v>
      </c>
      <c r="D922" s="2" t="s">
        <v>1766</v>
      </c>
    </row>
    <row r="923" spans="1:4" ht="12.95" customHeight="1" x14ac:dyDescent="0.25">
      <c r="A923" s="2" t="s">
        <v>237</v>
      </c>
      <c r="B923" s="2" t="s">
        <v>1040</v>
      </c>
      <c r="C923" s="5" t="s">
        <v>1767</v>
      </c>
      <c r="D923" s="2" t="s">
        <v>1768</v>
      </c>
    </row>
    <row r="924" spans="1:4" ht="12.95" customHeight="1" x14ac:dyDescent="0.25">
      <c r="A924" s="2" t="s">
        <v>237</v>
      </c>
      <c r="B924" s="2" t="s">
        <v>1040</v>
      </c>
      <c r="C924" s="5" t="s">
        <v>1769</v>
      </c>
      <c r="D924" s="2" t="s">
        <v>1770</v>
      </c>
    </row>
    <row r="925" spans="1:4" ht="12.95" customHeight="1" x14ac:dyDescent="0.25">
      <c r="A925" s="2" t="s">
        <v>237</v>
      </c>
      <c r="B925" s="2" t="s">
        <v>1040</v>
      </c>
      <c r="C925" s="5" t="s">
        <v>1771</v>
      </c>
      <c r="D925" s="2" t="s">
        <v>1772</v>
      </c>
    </row>
    <row r="926" spans="1:4" ht="12.95" customHeight="1" x14ac:dyDescent="0.25">
      <c r="A926" s="2" t="s">
        <v>237</v>
      </c>
      <c r="B926" s="2" t="s">
        <v>1040</v>
      </c>
      <c r="C926" s="5" t="s">
        <v>1773</v>
      </c>
      <c r="D926" s="2" t="s">
        <v>1774</v>
      </c>
    </row>
    <row r="927" spans="1:4" ht="12.95" customHeight="1" x14ac:dyDescent="0.25">
      <c r="A927" s="2" t="s">
        <v>237</v>
      </c>
      <c r="B927" s="2" t="s">
        <v>1040</v>
      </c>
      <c r="C927" s="5" t="s">
        <v>1775</v>
      </c>
      <c r="D927" s="2" t="s">
        <v>1776</v>
      </c>
    </row>
    <row r="928" spans="1:4" ht="12.95" customHeight="1" x14ac:dyDescent="0.25">
      <c r="A928" s="2" t="s">
        <v>237</v>
      </c>
      <c r="B928" s="2" t="s">
        <v>1040</v>
      </c>
      <c r="C928" s="5" t="s">
        <v>1777</v>
      </c>
      <c r="D928" s="2" t="s">
        <v>1778</v>
      </c>
    </row>
    <row r="929" spans="1:4" ht="12.95" customHeight="1" x14ac:dyDescent="0.25">
      <c r="A929" s="2" t="s">
        <v>237</v>
      </c>
      <c r="B929" s="2" t="s">
        <v>1040</v>
      </c>
      <c r="C929" s="5" t="s">
        <v>1779</v>
      </c>
      <c r="D929" s="2" t="s">
        <v>1780</v>
      </c>
    </row>
    <row r="930" spans="1:4" ht="12.95" customHeight="1" x14ac:dyDescent="0.25">
      <c r="A930" s="2" t="s">
        <v>237</v>
      </c>
      <c r="B930" s="2" t="s">
        <v>1040</v>
      </c>
      <c r="C930" s="5" t="s">
        <v>1781</v>
      </c>
      <c r="D930" s="2" t="s">
        <v>1782</v>
      </c>
    </row>
    <row r="931" spans="1:4" ht="12.95" customHeight="1" x14ac:dyDescent="0.25">
      <c r="A931" s="2" t="s">
        <v>237</v>
      </c>
      <c r="B931" s="2" t="s">
        <v>1040</v>
      </c>
      <c r="C931" s="5" t="s">
        <v>1783</v>
      </c>
      <c r="D931" s="2" t="s">
        <v>1784</v>
      </c>
    </row>
    <row r="932" spans="1:4" ht="12.95" customHeight="1" x14ac:dyDescent="0.25">
      <c r="A932" s="2" t="s">
        <v>237</v>
      </c>
      <c r="B932" s="2" t="s">
        <v>1040</v>
      </c>
      <c r="C932" s="5" t="s">
        <v>1785</v>
      </c>
      <c r="D932" s="2" t="s">
        <v>1786</v>
      </c>
    </row>
    <row r="933" spans="1:4" ht="12.95" customHeight="1" x14ac:dyDescent="0.25">
      <c r="A933" s="2" t="s">
        <v>237</v>
      </c>
      <c r="B933" s="2" t="s">
        <v>1040</v>
      </c>
      <c r="C933" s="5" t="s">
        <v>1787</v>
      </c>
      <c r="D933" s="2" t="s">
        <v>1788</v>
      </c>
    </row>
    <row r="934" spans="1:4" ht="12.95" customHeight="1" x14ac:dyDescent="0.25">
      <c r="A934" s="2" t="s">
        <v>237</v>
      </c>
      <c r="B934" s="2" t="s">
        <v>1040</v>
      </c>
      <c r="C934" s="5" t="s">
        <v>1789</v>
      </c>
      <c r="D934" s="2" t="s">
        <v>1790</v>
      </c>
    </row>
    <row r="935" spans="1:4" ht="12.95" customHeight="1" x14ac:dyDescent="0.25">
      <c r="A935" s="2" t="s">
        <v>237</v>
      </c>
      <c r="B935" s="2" t="s">
        <v>1040</v>
      </c>
      <c r="C935" s="5" t="s">
        <v>1791</v>
      </c>
      <c r="D935" s="2" t="s">
        <v>1792</v>
      </c>
    </row>
    <row r="936" spans="1:4" ht="12.95" customHeight="1" x14ac:dyDescent="0.25">
      <c r="A936" s="2" t="s">
        <v>237</v>
      </c>
      <c r="B936" s="2" t="s">
        <v>1040</v>
      </c>
      <c r="C936" s="5" t="s">
        <v>1793</v>
      </c>
      <c r="D936" s="2" t="s">
        <v>1794</v>
      </c>
    </row>
    <row r="937" spans="1:4" ht="12.95" customHeight="1" x14ac:dyDescent="0.25">
      <c r="A937" s="2" t="s">
        <v>237</v>
      </c>
      <c r="B937" s="2" t="s">
        <v>1040</v>
      </c>
      <c r="C937" s="5" t="s">
        <v>1795</v>
      </c>
      <c r="D937" s="2" t="s">
        <v>1796</v>
      </c>
    </row>
    <row r="938" spans="1:4" ht="12.95" customHeight="1" x14ac:dyDescent="0.25">
      <c r="A938" s="2" t="s">
        <v>237</v>
      </c>
      <c r="B938" s="2" t="s">
        <v>1040</v>
      </c>
      <c r="C938" s="5" t="s">
        <v>1797</v>
      </c>
      <c r="D938" s="2" t="s">
        <v>1798</v>
      </c>
    </row>
    <row r="939" spans="1:4" ht="12.95" customHeight="1" x14ac:dyDescent="0.25">
      <c r="A939" s="2" t="s">
        <v>237</v>
      </c>
      <c r="B939" s="2" t="s">
        <v>1040</v>
      </c>
      <c r="C939" s="5" t="s">
        <v>1799</v>
      </c>
      <c r="D939" s="2" t="s">
        <v>1800</v>
      </c>
    </row>
    <row r="940" spans="1:4" ht="12.95" customHeight="1" x14ac:dyDescent="0.25">
      <c r="A940" s="2" t="s">
        <v>237</v>
      </c>
      <c r="B940" s="2" t="s">
        <v>1040</v>
      </c>
      <c r="C940" s="5" t="s">
        <v>1801</v>
      </c>
      <c r="D940" s="2" t="s">
        <v>1802</v>
      </c>
    </row>
    <row r="941" spans="1:4" ht="12.95" customHeight="1" x14ac:dyDescent="0.25">
      <c r="A941" s="2" t="s">
        <v>237</v>
      </c>
      <c r="B941" s="2" t="s">
        <v>1040</v>
      </c>
      <c r="C941" s="5" t="s">
        <v>1803</v>
      </c>
      <c r="D941" s="2" t="s">
        <v>1804</v>
      </c>
    </row>
    <row r="942" spans="1:4" ht="12.95" customHeight="1" x14ac:dyDescent="0.25">
      <c r="A942" s="2" t="s">
        <v>237</v>
      </c>
      <c r="B942" s="2" t="s">
        <v>1040</v>
      </c>
      <c r="C942" s="5" t="s">
        <v>1805</v>
      </c>
      <c r="D942" s="2" t="s">
        <v>1806</v>
      </c>
    </row>
    <row r="943" spans="1:4" ht="12.95" customHeight="1" x14ac:dyDescent="0.25">
      <c r="A943" s="2" t="s">
        <v>237</v>
      </c>
      <c r="B943" s="2" t="s">
        <v>1040</v>
      </c>
      <c r="C943" s="5" t="s">
        <v>1807</v>
      </c>
      <c r="D943" s="2" t="s">
        <v>1808</v>
      </c>
    </row>
    <row r="944" spans="1:4" ht="12.95" customHeight="1" x14ac:dyDescent="0.25">
      <c r="A944" s="2" t="s">
        <v>237</v>
      </c>
      <c r="B944" s="2" t="s">
        <v>1040</v>
      </c>
      <c r="C944" s="5" t="s">
        <v>1809</v>
      </c>
      <c r="D944" s="2" t="s">
        <v>1810</v>
      </c>
    </row>
    <row r="945" spans="1:4" ht="12.95" customHeight="1" x14ac:dyDescent="0.25">
      <c r="A945" s="2" t="s">
        <v>237</v>
      </c>
      <c r="B945" s="2" t="s">
        <v>1040</v>
      </c>
      <c r="C945" s="5" t="s">
        <v>1811</v>
      </c>
      <c r="D945" s="2" t="s">
        <v>1812</v>
      </c>
    </row>
    <row r="946" spans="1:4" ht="12.95" customHeight="1" x14ac:dyDescent="0.25">
      <c r="A946" s="2" t="s">
        <v>237</v>
      </c>
      <c r="B946" s="2" t="s">
        <v>1040</v>
      </c>
      <c r="C946" s="5" t="s">
        <v>1813</v>
      </c>
      <c r="D946" s="2" t="s">
        <v>1814</v>
      </c>
    </row>
    <row r="947" spans="1:4" ht="12.95" customHeight="1" x14ac:dyDescent="0.25">
      <c r="A947" s="2" t="s">
        <v>237</v>
      </c>
      <c r="B947" s="2" t="s">
        <v>1040</v>
      </c>
      <c r="C947" s="5" t="s">
        <v>1815</v>
      </c>
      <c r="D947" s="2" t="s">
        <v>1816</v>
      </c>
    </row>
    <row r="948" spans="1:4" ht="12.95" customHeight="1" x14ac:dyDescent="0.25">
      <c r="A948" s="2" t="s">
        <v>237</v>
      </c>
      <c r="B948" s="2" t="s">
        <v>1040</v>
      </c>
      <c r="C948" s="5" t="s">
        <v>1817</v>
      </c>
      <c r="D948" s="2" t="s">
        <v>1818</v>
      </c>
    </row>
    <row r="949" spans="1:4" ht="12.95" customHeight="1" x14ac:dyDescent="0.25">
      <c r="A949" s="2" t="s">
        <v>237</v>
      </c>
      <c r="B949" s="2" t="s">
        <v>1040</v>
      </c>
      <c r="C949" s="5" t="s">
        <v>1819</v>
      </c>
      <c r="D949" s="2" t="s">
        <v>1820</v>
      </c>
    </row>
    <row r="950" spans="1:4" ht="12.95" customHeight="1" x14ac:dyDescent="0.25">
      <c r="A950" s="2" t="s">
        <v>237</v>
      </c>
      <c r="B950" s="2" t="s">
        <v>1040</v>
      </c>
      <c r="C950" s="5" t="s">
        <v>1821</v>
      </c>
      <c r="D950" s="2" t="s">
        <v>1822</v>
      </c>
    </row>
    <row r="951" spans="1:4" ht="12.95" customHeight="1" x14ac:dyDescent="0.25">
      <c r="A951" s="2" t="s">
        <v>237</v>
      </c>
      <c r="B951" s="2" t="s">
        <v>1040</v>
      </c>
      <c r="C951" s="5" t="s">
        <v>1823</v>
      </c>
      <c r="D951" s="2" t="s">
        <v>1824</v>
      </c>
    </row>
    <row r="952" spans="1:4" ht="12.95" customHeight="1" x14ac:dyDescent="0.25">
      <c r="A952" s="2" t="s">
        <v>237</v>
      </c>
      <c r="B952" s="2" t="s">
        <v>1040</v>
      </c>
      <c r="C952" s="5" t="s">
        <v>1825</v>
      </c>
      <c r="D952" s="2" t="s">
        <v>1826</v>
      </c>
    </row>
    <row r="953" spans="1:4" ht="12.95" customHeight="1" x14ac:dyDescent="0.25">
      <c r="A953" s="2" t="s">
        <v>237</v>
      </c>
      <c r="B953" s="2" t="s">
        <v>1040</v>
      </c>
      <c r="C953" s="5" t="s">
        <v>1827</v>
      </c>
      <c r="D953" s="2" t="s">
        <v>1828</v>
      </c>
    </row>
    <row r="954" spans="1:4" ht="12.95" customHeight="1" x14ac:dyDescent="0.25">
      <c r="A954" s="2" t="s">
        <v>237</v>
      </c>
      <c r="B954" s="2" t="s">
        <v>1040</v>
      </c>
      <c r="C954" s="5" t="s">
        <v>1829</v>
      </c>
      <c r="D954" s="2" t="s">
        <v>1830</v>
      </c>
    </row>
    <row r="955" spans="1:4" ht="12.95" customHeight="1" x14ac:dyDescent="0.25">
      <c r="A955" s="2" t="s">
        <v>237</v>
      </c>
      <c r="B955" s="2" t="s">
        <v>1040</v>
      </c>
      <c r="C955" s="5" t="s">
        <v>1831</v>
      </c>
      <c r="D955" s="2" t="s">
        <v>1832</v>
      </c>
    </row>
    <row r="956" spans="1:4" ht="12.95" customHeight="1" x14ac:dyDescent="0.25">
      <c r="A956" s="2" t="s">
        <v>237</v>
      </c>
      <c r="B956" s="2" t="s">
        <v>1040</v>
      </c>
      <c r="C956" s="5" t="s">
        <v>1833</v>
      </c>
      <c r="D956" s="2" t="s">
        <v>1834</v>
      </c>
    </row>
    <row r="957" spans="1:4" ht="12.95" customHeight="1" x14ac:dyDescent="0.25">
      <c r="A957" s="2" t="s">
        <v>237</v>
      </c>
      <c r="B957" s="2" t="s">
        <v>1040</v>
      </c>
      <c r="C957" s="5" t="s">
        <v>1835</v>
      </c>
      <c r="D957" s="2" t="s">
        <v>1836</v>
      </c>
    </row>
    <row r="958" spans="1:4" ht="12.95" customHeight="1" x14ac:dyDescent="0.25">
      <c r="A958" s="2" t="s">
        <v>237</v>
      </c>
      <c r="B958" s="2" t="s">
        <v>1040</v>
      </c>
      <c r="C958" s="5" t="s">
        <v>1837</v>
      </c>
      <c r="D958" s="2" t="s">
        <v>1838</v>
      </c>
    </row>
    <row r="959" spans="1:4" ht="12.95" customHeight="1" x14ac:dyDescent="0.25">
      <c r="A959" s="2" t="s">
        <v>237</v>
      </c>
      <c r="B959" s="2" t="s">
        <v>1040</v>
      </c>
      <c r="C959" s="5" t="s">
        <v>1839</v>
      </c>
      <c r="D959" s="2" t="s">
        <v>1840</v>
      </c>
    </row>
    <row r="960" spans="1:4" ht="12.95" customHeight="1" x14ac:dyDescent="0.25">
      <c r="A960" s="2" t="s">
        <v>237</v>
      </c>
      <c r="B960" s="2" t="s">
        <v>1040</v>
      </c>
      <c r="C960" s="5" t="s">
        <v>1841</v>
      </c>
      <c r="D960" s="2" t="s">
        <v>1842</v>
      </c>
    </row>
    <row r="961" spans="1:4" ht="12.95" customHeight="1" x14ac:dyDescent="0.25">
      <c r="A961" s="2" t="s">
        <v>237</v>
      </c>
      <c r="B961" s="2" t="s">
        <v>1040</v>
      </c>
      <c r="C961" s="5" t="s">
        <v>1843</v>
      </c>
      <c r="D961" s="2" t="s">
        <v>1844</v>
      </c>
    </row>
    <row r="962" spans="1:4" ht="12.95" customHeight="1" x14ac:dyDescent="0.25">
      <c r="A962" s="2" t="s">
        <v>237</v>
      </c>
      <c r="B962" s="2" t="s">
        <v>1040</v>
      </c>
      <c r="C962" s="5" t="s">
        <v>1845</v>
      </c>
      <c r="D962" s="2" t="s">
        <v>1846</v>
      </c>
    </row>
    <row r="963" spans="1:4" ht="12.95" customHeight="1" x14ac:dyDescent="0.25">
      <c r="A963" s="2" t="s">
        <v>237</v>
      </c>
      <c r="B963" s="2" t="s">
        <v>1040</v>
      </c>
      <c r="C963" s="5" t="s">
        <v>1847</v>
      </c>
      <c r="D963" s="2" t="s">
        <v>1848</v>
      </c>
    </row>
    <row r="964" spans="1:4" ht="12.95" customHeight="1" x14ac:dyDescent="0.25">
      <c r="A964" s="2" t="s">
        <v>237</v>
      </c>
      <c r="B964" s="2" t="s">
        <v>1040</v>
      </c>
      <c r="C964" s="5" t="s">
        <v>1849</v>
      </c>
      <c r="D964" s="2" t="s">
        <v>1850</v>
      </c>
    </row>
    <row r="965" spans="1:4" ht="12.95" customHeight="1" x14ac:dyDescent="0.25">
      <c r="A965" s="2" t="s">
        <v>237</v>
      </c>
      <c r="B965" s="2" t="s">
        <v>1040</v>
      </c>
      <c r="C965" s="5" t="s">
        <v>1851</v>
      </c>
      <c r="D965" s="2" t="s">
        <v>1852</v>
      </c>
    </row>
    <row r="966" spans="1:4" ht="12.95" customHeight="1" x14ac:dyDescent="0.25">
      <c r="A966" s="2" t="s">
        <v>237</v>
      </c>
      <c r="B966" s="2" t="s">
        <v>1040</v>
      </c>
      <c r="C966" s="5" t="s">
        <v>1853</v>
      </c>
      <c r="D966" s="2" t="s">
        <v>1854</v>
      </c>
    </row>
    <row r="967" spans="1:4" ht="12.95" customHeight="1" x14ac:dyDescent="0.25">
      <c r="A967" s="2" t="s">
        <v>237</v>
      </c>
      <c r="B967" s="2" t="s">
        <v>1040</v>
      </c>
      <c r="C967" s="5" t="s">
        <v>1855</v>
      </c>
      <c r="D967" s="2" t="s">
        <v>1856</v>
      </c>
    </row>
    <row r="968" spans="1:4" ht="12.95" customHeight="1" x14ac:dyDescent="0.25">
      <c r="A968" s="2" t="s">
        <v>237</v>
      </c>
      <c r="B968" s="2" t="s">
        <v>1040</v>
      </c>
      <c r="C968" s="5" t="s">
        <v>1857</v>
      </c>
      <c r="D968" s="2" t="s">
        <v>1858</v>
      </c>
    </row>
    <row r="969" spans="1:4" ht="12.95" customHeight="1" x14ac:dyDescent="0.25">
      <c r="A969" s="2" t="s">
        <v>237</v>
      </c>
      <c r="B969" s="2" t="s">
        <v>1040</v>
      </c>
      <c r="C969" s="5" t="s">
        <v>1859</v>
      </c>
      <c r="D969" s="2" t="s">
        <v>1860</v>
      </c>
    </row>
    <row r="970" spans="1:4" ht="12.95" customHeight="1" x14ac:dyDescent="0.25">
      <c r="A970" s="2" t="s">
        <v>237</v>
      </c>
      <c r="B970" s="2" t="s">
        <v>1040</v>
      </c>
      <c r="C970" s="5" t="s">
        <v>1861</v>
      </c>
      <c r="D970" s="2" t="s">
        <v>1862</v>
      </c>
    </row>
    <row r="971" spans="1:4" ht="12.95" customHeight="1" x14ac:dyDescent="0.25">
      <c r="A971" s="2" t="s">
        <v>237</v>
      </c>
      <c r="B971" s="2" t="s">
        <v>1040</v>
      </c>
      <c r="C971" s="5" t="s">
        <v>1863</v>
      </c>
      <c r="D971" s="2" t="s">
        <v>1864</v>
      </c>
    </row>
    <row r="972" spans="1:4" ht="12.95" customHeight="1" x14ac:dyDescent="0.25">
      <c r="A972" s="2" t="s">
        <v>237</v>
      </c>
      <c r="B972" s="2" t="s">
        <v>1040</v>
      </c>
      <c r="C972" s="5" t="s">
        <v>1865</v>
      </c>
      <c r="D972" s="2" t="s">
        <v>1866</v>
      </c>
    </row>
    <row r="973" spans="1:4" ht="12.95" customHeight="1" x14ac:dyDescent="0.25">
      <c r="A973" s="2" t="s">
        <v>237</v>
      </c>
      <c r="B973" s="2" t="s">
        <v>1040</v>
      </c>
      <c r="C973" s="5" t="s">
        <v>1867</v>
      </c>
      <c r="D973" s="2" t="s">
        <v>1868</v>
      </c>
    </row>
    <row r="974" spans="1:4" ht="12.95" customHeight="1" x14ac:dyDescent="0.25">
      <c r="A974" s="2" t="s">
        <v>237</v>
      </c>
      <c r="B974" s="2" t="s">
        <v>1040</v>
      </c>
      <c r="C974" s="5" t="s">
        <v>1869</v>
      </c>
      <c r="D974" s="2" t="s">
        <v>1870</v>
      </c>
    </row>
    <row r="975" spans="1:4" ht="12.95" customHeight="1" x14ac:dyDescent="0.25">
      <c r="A975" s="2" t="s">
        <v>237</v>
      </c>
      <c r="B975" s="2" t="s">
        <v>1040</v>
      </c>
      <c r="C975" s="5" t="s">
        <v>1871</v>
      </c>
      <c r="D975" s="2" t="s">
        <v>1872</v>
      </c>
    </row>
    <row r="976" spans="1:4" ht="12.95" customHeight="1" x14ac:dyDescent="0.25">
      <c r="A976" s="2" t="s">
        <v>237</v>
      </c>
      <c r="B976" s="2" t="s">
        <v>1040</v>
      </c>
      <c r="C976" s="5" t="s">
        <v>1873</v>
      </c>
      <c r="D976" s="2" t="s">
        <v>1874</v>
      </c>
    </row>
    <row r="977" spans="1:4" ht="12.95" customHeight="1" x14ac:dyDescent="0.25">
      <c r="A977" s="2" t="s">
        <v>237</v>
      </c>
      <c r="B977" s="2" t="s">
        <v>1040</v>
      </c>
      <c r="C977" s="5" t="s">
        <v>1875</v>
      </c>
      <c r="D977" s="2" t="s">
        <v>1876</v>
      </c>
    </row>
    <row r="978" spans="1:4" ht="12.95" customHeight="1" x14ac:dyDescent="0.25">
      <c r="A978" s="2" t="s">
        <v>237</v>
      </c>
      <c r="B978" s="2" t="s">
        <v>1040</v>
      </c>
      <c r="C978" s="5" t="s">
        <v>1877</v>
      </c>
      <c r="D978" s="2" t="s">
        <v>1878</v>
      </c>
    </row>
    <row r="979" spans="1:4" ht="12.95" customHeight="1" x14ac:dyDescent="0.25">
      <c r="A979" s="2" t="s">
        <v>237</v>
      </c>
      <c r="B979" s="2" t="s">
        <v>1040</v>
      </c>
      <c r="C979" s="5" t="s">
        <v>1879</v>
      </c>
      <c r="D979" s="2" t="s">
        <v>1880</v>
      </c>
    </row>
    <row r="980" spans="1:4" ht="12.95" customHeight="1" x14ac:dyDescent="0.25">
      <c r="A980" s="2" t="s">
        <v>237</v>
      </c>
      <c r="B980" s="2" t="s">
        <v>1040</v>
      </c>
      <c r="C980" s="5" t="s">
        <v>1881</v>
      </c>
      <c r="D980" s="2" t="s">
        <v>1882</v>
      </c>
    </row>
    <row r="981" spans="1:4" ht="12.95" customHeight="1" x14ac:dyDescent="0.25">
      <c r="A981" s="2" t="s">
        <v>237</v>
      </c>
      <c r="B981" s="2" t="s">
        <v>1040</v>
      </c>
      <c r="C981" s="5" t="s">
        <v>1883</v>
      </c>
      <c r="D981" s="2" t="s">
        <v>1884</v>
      </c>
    </row>
    <row r="982" spans="1:4" ht="12.95" customHeight="1" x14ac:dyDescent="0.25">
      <c r="A982" s="2" t="s">
        <v>237</v>
      </c>
      <c r="B982" s="2" t="s">
        <v>1040</v>
      </c>
      <c r="C982" s="5" t="s">
        <v>1885</v>
      </c>
      <c r="D982" s="2" t="s">
        <v>1886</v>
      </c>
    </row>
    <row r="983" spans="1:4" ht="12.95" customHeight="1" x14ac:dyDescent="0.25">
      <c r="A983" s="2" t="s">
        <v>237</v>
      </c>
      <c r="B983" s="2" t="s">
        <v>1040</v>
      </c>
      <c r="C983" s="5" t="s">
        <v>1887</v>
      </c>
      <c r="D983" s="2" t="s">
        <v>1888</v>
      </c>
    </row>
    <row r="984" spans="1:4" ht="12.95" customHeight="1" x14ac:dyDescent="0.25">
      <c r="A984" s="2" t="s">
        <v>237</v>
      </c>
      <c r="B984" s="2" t="s">
        <v>1040</v>
      </c>
      <c r="C984" s="5" t="s">
        <v>1889</v>
      </c>
      <c r="D984" s="2" t="s">
        <v>1890</v>
      </c>
    </row>
    <row r="985" spans="1:4" ht="12.95" customHeight="1" x14ac:dyDescent="0.25">
      <c r="A985" s="2" t="s">
        <v>237</v>
      </c>
      <c r="B985" s="2" t="s">
        <v>1040</v>
      </c>
      <c r="C985" s="5" t="s">
        <v>1891</v>
      </c>
      <c r="D985" s="2" t="s">
        <v>1892</v>
      </c>
    </row>
    <row r="986" spans="1:4" ht="12.95" customHeight="1" x14ac:dyDescent="0.25">
      <c r="A986" s="2" t="s">
        <v>237</v>
      </c>
      <c r="B986" s="2" t="s">
        <v>1040</v>
      </c>
      <c r="C986" s="5" t="s">
        <v>1893</v>
      </c>
      <c r="D986" s="2" t="s">
        <v>1894</v>
      </c>
    </row>
    <row r="987" spans="1:4" ht="12.95" customHeight="1" x14ac:dyDescent="0.25">
      <c r="A987" s="2" t="s">
        <v>237</v>
      </c>
      <c r="B987" s="2" t="s">
        <v>1040</v>
      </c>
      <c r="C987" s="5" t="s">
        <v>1895</v>
      </c>
      <c r="D987" s="2" t="s">
        <v>1896</v>
      </c>
    </row>
    <row r="988" spans="1:4" ht="12.95" customHeight="1" x14ac:dyDescent="0.25">
      <c r="A988" s="2" t="s">
        <v>237</v>
      </c>
      <c r="B988" s="2" t="s">
        <v>1040</v>
      </c>
      <c r="C988" s="5" t="s">
        <v>1897</v>
      </c>
      <c r="D988" s="2" t="s">
        <v>1898</v>
      </c>
    </row>
    <row r="989" spans="1:4" ht="12.95" customHeight="1" x14ac:dyDescent="0.25">
      <c r="A989" s="2" t="s">
        <v>237</v>
      </c>
      <c r="B989" s="2" t="s">
        <v>1040</v>
      </c>
      <c r="C989" s="5" t="s">
        <v>1899</v>
      </c>
      <c r="D989" s="2" t="s">
        <v>1900</v>
      </c>
    </row>
    <row r="990" spans="1:4" ht="12.95" customHeight="1" x14ac:dyDescent="0.25">
      <c r="A990" s="2" t="s">
        <v>237</v>
      </c>
      <c r="B990" s="2" t="s">
        <v>1040</v>
      </c>
      <c r="C990" s="5" t="s">
        <v>1901</v>
      </c>
      <c r="D990" s="2" t="s">
        <v>1902</v>
      </c>
    </row>
    <row r="991" spans="1:4" ht="12.95" customHeight="1" x14ac:dyDescent="0.25">
      <c r="A991" s="2" t="s">
        <v>237</v>
      </c>
      <c r="B991" s="2" t="s">
        <v>1040</v>
      </c>
      <c r="C991" s="5" t="s">
        <v>1903</v>
      </c>
      <c r="D991" s="2" t="s">
        <v>1904</v>
      </c>
    </row>
    <row r="992" spans="1:4" ht="12.95" customHeight="1" x14ac:dyDescent="0.25">
      <c r="A992" s="2" t="s">
        <v>237</v>
      </c>
      <c r="B992" s="2" t="s">
        <v>1040</v>
      </c>
      <c r="C992" s="5" t="s">
        <v>1905</v>
      </c>
      <c r="D992" s="2" t="s">
        <v>1906</v>
      </c>
    </row>
    <row r="993" spans="1:4" ht="12.95" customHeight="1" x14ac:dyDescent="0.25">
      <c r="A993" s="2" t="s">
        <v>237</v>
      </c>
      <c r="B993" s="2" t="s">
        <v>1040</v>
      </c>
      <c r="C993" s="5" t="s">
        <v>1907</v>
      </c>
      <c r="D993" s="2" t="s">
        <v>1908</v>
      </c>
    </row>
    <row r="994" spans="1:4" ht="12.95" customHeight="1" x14ac:dyDescent="0.25">
      <c r="A994" s="2" t="s">
        <v>237</v>
      </c>
      <c r="B994" s="2" t="s">
        <v>1040</v>
      </c>
      <c r="C994" s="5" t="s">
        <v>1909</v>
      </c>
      <c r="D994" s="2" t="s">
        <v>1910</v>
      </c>
    </row>
    <row r="995" spans="1:4" ht="12.95" customHeight="1" x14ac:dyDescent="0.25">
      <c r="A995" s="2" t="s">
        <v>237</v>
      </c>
      <c r="B995" s="2" t="s">
        <v>1040</v>
      </c>
      <c r="C995" s="5" t="s">
        <v>1911</v>
      </c>
      <c r="D995" s="2" t="s">
        <v>1912</v>
      </c>
    </row>
    <row r="996" spans="1:4" ht="12.95" customHeight="1" x14ac:dyDescent="0.25">
      <c r="A996" s="2" t="s">
        <v>237</v>
      </c>
      <c r="B996" s="2" t="s">
        <v>1040</v>
      </c>
      <c r="C996" s="5" t="s">
        <v>1913</v>
      </c>
      <c r="D996" s="2" t="s">
        <v>1914</v>
      </c>
    </row>
    <row r="997" spans="1:4" ht="12.95" customHeight="1" x14ac:dyDescent="0.25">
      <c r="A997" s="2" t="s">
        <v>237</v>
      </c>
      <c r="B997" s="2" t="s">
        <v>1040</v>
      </c>
      <c r="C997" s="5" t="s">
        <v>1915</v>
      </c>
      <c r="D997" s="2" t="s">
        <v>1916</v>
      </c>
    </row>
    <row r="998" spans="1:4" ht="12.95" customHeight="1" x14ac:dyDescent="0.25">
      <c r="A998" s="2" t="s">
        <v>237</v>
      </c>
      <c r="B998" s="2" t="s">
        <v>1040</v>
      </c>
      <c r="C998" s="5" t="s">
        <v>1917</v>
      </c>
      <c r="D998" s="2" t="s">
        <v>1918</v>
      </c>
    </row>
    <row r="999" spans="1:4" ht="12.95" customHeight="1" x14ac:dyDescent="0.25">
      <c r="A999" s="2" t="s">
        <v>237</v>
      </c>
      <c r="B999" s="2" t="s">
        <v>1040</v>
      </c>
      <c r="C999" s="5" t="s">
        <v>1919</v>
      </c>
      <c r="D999" s="2" t="s">
        <v>1920</v>
      </c>
    </row>
    <row r="1000" spans="1:4" ht="12.95" customHeight="1" x14ac:dyDescent="0.25">
      <c r="A1000" s="2" t="s">
        <v>237</v>
      </c>
      <c r="B1000" s="2" t="s">
        <v>1040</v>
      </c>
      <c r="C1000" s="5" t="s">
        <v>1921</v>
      </c>
      <c r="D1000" s="2" t="s">
        <v>1922</v>
      </c>
    </row>
    <row r="1001" spans="1:4" ht="12.95" customHeight="1" x14ac:dyDescent="0.25">
      <c r="A1001" s="2" t="s">
        <v>237</v>
      </c>
      <c r="B1001" s="2" t="s">
        <v>1040</v>
      </c>
      <c r="C1001" s="5" t="s">
        <v>1923</v>
      </c>
      <c r="D1001" s="2" t="s">
        <v>1924</v>
      </c>
    </row>
    <row r="1002" spans="1:4" ht="12.95" customHeight="1" x14ac:dyDescent="0.25">
      <c r="A1002" s="2" t="s">
        <v>237</v>
      </c>
      <c r="B1002" s="2" t="s">
        <v>1040</v>
      </c>
      <c r="C1002" s="5" t="s">
        <v>1925</v>
      </c>
      <c r="D1002" s="2" t="s">
        <v>1926</v>
      </c>
    </row>
    <row r="1003" spans="1:4" ht="12.95" customHeight="1" x14ac:dyDescent="0.25">
      <c r="A1003" s="2" t="s">
        <v>237</v>
      </c>
      <c r="B1003" s="2" t="s">
        <v>1040</v>
      </c>
      <c r="C1003" s="5" t="s">
        <v>1927</v>
      </c>
      <c r="D1003" s="2" t="s">
        <v>1928</v>
      </c>
    </row>
    <row r="1004" spans="1:4" ht="12.95" customHeight="1" x14ac:dyDescent="0.25">
      <c r="A1004" s="2" t="s">
        <v>237</v>
      </c>
      <c r="B1004" s="2" t="s">
        <v>1040</v>
      </c>
      <c r="C1004" s="5" t="s">
        <v>1929</v>
      </c>
      <c r="D1004" s="2" t="s">
        <v>1930</v>
      </c>
    </row>
    <row r="1005" spans="1:4" ht="12.95" customHeight="1" x14ac:dyDescent="0.25">
      <c r="A1005" s="2" t="s">
        <v>237</v>
      </c>
      <c r="B1005" s="2" t="s">
        <v>1040</v>
      </c>
      <c r="C1005" s="5" t="s">
        <v>1931</v>
      </c>
      <c r="D1005" s="2" t="s">
        <v>1932</v>
      </c>
    </row>
    <row r="1006" spans="1:4" ht="12.95" customHeight="1" x14ac:dyDescent="0.25">
      <c r="A1006" s="2" t="s">
        <v>237</v>
      </c>
      <c r="B1006" s="2" t="s">
        <v>1040</v>
      </c>
      <c r="C1006" s="5" t="s">
        <v>1933</v>
      </c>
      <c r="D1006" s="2" t="s">
        <v>1934</v>
      </c>
    </row>
    <row r="1007" spans="1:4" ht="12.95" customHeight="1" x14ac:dyDescent="0.25">
      <c r="A1007" s="2" t="s">
        <v>237</v>
      </c>
      <c r="B1007" s="2" t="s">
        <v>1040</v>
      </c>
      <c r="C1007" s="5" t="s">
        <v>1935</v>
      </c>
      <c r="D1007" s="2" t="s">
        <v>1936</v>
      </c>
    </row>
    <row r="1008" spans="1:4" ht="12.95" customHeight="1" x14ac:dyDescent="0.25">
      <c r="A1008" s="2" t="s">
        <v>237</v>
      </c>
      <c r="B1008" s="2" t="s">
        <v>1040</v>
      </c>
      <c r="C1008" s="5" t="s">
        <v>1937</v>
      </c>
      <c r="D1008" s="2" t="s">
        <v>1938</v>
      </c>
    </row>
    <row r="1009" spans="1:4" ht="12.95" customHeight="1" x14ac:dyDescent="0.25">
      <c r="A1009" s="2" t="s">
        <v>237</v>
      </c>
      <c r="B1009" s="2" t="s">
        <v>1040</v>
      </c>
      <c r="C1009" s="5" t="s">
        <v>1939</v>
      </c>
      <c r="D1009" s="2" t="s">
        <v>1940</v>
      </c>
    </row>
    <row r="1010" spans="1:4" ht="12.95" customHeight="1" x14ac:dyDescent="0.25">
      <c r="A1010" s="2" t="s">
        <v>237</v>
      </c>
      <c r="B1010" s="2" t="s">
        <v>1040</v>
      </c>
      <c r="C1010" s="5" t="s">
        <v>1941</v>
      </c>
      <c r="D1010" s="2" t="s">
        <v>1942</v>
      </c>
    </row>
    <row r="1011" spans="1:4" ht="12.95" customHeight="1" x14ac:dyDescent="0.25">
      <c r="A1011" s="2" t="s">
        <v>237</v>
      </c>
      <c r="B1011" s="2" t="s">
        <v>1040</v>
      </c>
      <c r="C1011" s="5" t="s">
        <v>1943</v>
      </c>
      <c r="D1011" s="2" t="s">
        <v>1944</v>
      </c>
    </row>
    <row r="1012" spans="1:4" ht="12.95" customHeight="1" x14ac:dyDescent="0.25">
      <c r="A1012" s="2" t="s">
        <v>237</v>
      </c>
      <c r="B1012" s="2" t="s">
        <v>1040</v>
      </c>
      <c r="C1012" s="5" t="s">
        <v>1945</v>
      </c>
      <c r="D1012" s="2" t="s">
        <v>1946</v>
      </c>
    </row>
    <row r="1013" spans="1:4" ht="12.95" customHeight="1" x14ac:dyDescent="0.25">
      <c r="A1013" s="2" t="s">
        <v>237</v>
      </c>
      <c r="B1013" s="2" t="s">
        <v>1040</v>
      </c>
      <c r="C1013" s="5" t="s">
        <v>1947</v>
      </c>
      <c r="D1013" s="2" t="s">
        <v>1948</v>
      </c>
    </row>
    <row r="1014" spans="1:4" ht="12.95" customHeight="1" x14ac:dyDescent="0.25">
      <c r="A1014" s="2" t="s">
        <v>237</v>
      </c>
      <c r="B1014" s="2" t="s">
        <v>1040</v>
      </c>
      <c r="C1014" s="5" t="s">
        <v>1949</v>
      </c>
      <c r="D1014" s="2" t="s">
        <v>1950</v>
      </c>
    </row>
    <row r="1015" spans="1:4" ht="12.95" customHeight="1" x14ac:dyDescent="0.25">
      <c r="A1015" s="2" t="s">
        <v>237</v>
      </c>
      <c r="B1015" s="2" t="s">
        <v>1040</v>
      </c>
      <c r="C1015" s="5" t="s">
        <v>1951</v>
      </c>
      <c r="D1015" s="2" t="s">
        <v>1952</v>
      </c>
    </row>
    <row r="1016" spans="1:4" ht="12.95" customHeight="1" x14ac:dyDescent="0.25">
      <c r="A1016" s="2" t="s">
        <v>237</v>
      </c>
      <c r="B1016" s="2" t="s">
        <v>1040</v>
      </c>
      <c r="C1016" s="5" t="s">
        <v>1953</v>
      </c>
      <c r="D1016" s="2" t="s">
        <v>1954</v>
      </c>
    </row>
    <row r="1017" spans="1:4" ht="12.95" customHeight="1" x14ac:dyDescent="0.25">
      <c r="A1017" s="2" t="s">
        <v>237</v>
      </c>
      <c r="B1017" s="2" t="s">
        <v>1040</v>
      </c>
      <c r="C1017" s="5" t="s">
        <v>1955</v>
      </c>
      <c r="D1017" s="2" t="s">
        <v>1956</v>
      </c>
    </row>
    <row r="1018" spans="1:4" ht="12.95" customHeight="1" x14ac:dyDescent="0.25">
      <c r="A1018" s="2" t="s">
        <v>237</v>
      </c>
      <c r="B1018" s="2" t="s">
        <v>1040</v>
      </c>
      <c r="C1018" s="5" t="s">
        <v>1957</v>
      </c>
      <c r="D1018" s="2" t="s">
        <v>1958</v>
      </c>
    </row>
    <row r="1019" spans="1:4" ht="12.95" customHeight="1" x14ac:dyDescent="0.25">
      <c r="A1019" s="2" t="s">
        <v>237</v>
      </c>
      <c r="B1019" s="2" t="s">
        <v>1040</v>
      </c>
      <c r="C1019" s="5" t="s">
        <v>1959</v>
      </c>
      <c r="D1019" s="2" t="s">
        <v>1960</v>
      </c>
    </row>
    <row r="1020" spans="1:4" ht="12.95" customHeight="1" x14ac:dyDescent="0.25">
      <c r="A1020" s="2" t="s">
        <v>237</v>
      </c>
      <c r="B1020" s="2" t="s">
        <v>1040</v>
      </c>
      <c r="C1020" s="5" t="s">
        <v>1961</v>
      </c>
      <c r="D1020" s="2" t="s">
        <v>1962</v>
      </c>
    </row>
    <row r="1021" spans="1:4" ht="12.95" customHeight="1" x14ac:dyDescent="0.25">
      <c r="A1021" s="2" t="s">
        <v>237</v>
      </c>
      <c r="B1021" s="2" t="s">
        <v>1040</v>
      </c>
      <c r="C1021" s="5" t="s">
        <v>1963</v>
      </c>
      <c r="D1021" s="2" t="s">
        <v>1964</v>
      </c>
    </row>
    <row r="1022" spans="1:4" ht="12.95" customHeight="1" x14ac:dyDescent="0.25">
      <c r="A1022" s="2" t="s">
        <v>237</v>
      </c>
      <c r="B1022" s="2" t="s">
        <v>1040</v>
      </c>
      <c r="C1022" s="5" t="s">
        <v>1965</v>
      </c>
      <c r="D1022" s="2" t="s">
        <v>1966</v>
      </c>
    </row>
    <row r="1023" spans="1:4" ht="12.95" customHeight="1" x14ac:dyDescent="0.25">
      <c r="A1023" s="2" t="s">
        <v>237</v>
      </c>
      <c r="B1023" s="2" t="s">
        <v>1040</v>
      </c>
      <c r="C1023" s="5" t="s">
        <v>1967</v>
      </c>
      <c r="D1023" s="2" t="s">
        <v>1968</v>
      </c>
    </row>
    <row r="1024" spans="1:4" ht="12.95" customHeight="1" x14ac:dyDescent="0.25">
      <c r="A1024" s="2" t="s">
        <v>237</v>
      </c>
      <c r="B1024" s="2" t="s">
        <v>1040</v>
      </c>
      <c r="C1024" s="5" t="s">
        <v>1969</v>
      </c>
      <c r="D1024" s="2" t="s">
        <v>1970</v>
      </c>
    </row>
    <row r="1025" spans="1:4" ht="12.95" customHeight="1" x14ac:dyDescent="0.25">
      <c r="A1025" s="2" t="s">
        <v>237</v>
      </c>
      <c r="B1025" s="2" t="s">
        <v>1040</v>
      </c>
      <c r="C1025" s="5" t="s">
        <v>1971</v>
      </c>
      <c r="D1025" s="2" t="s">
        <v>1972</v>
      </c>
    </row>
    <row r="1026" spans="1:4" ht="12.95" customHeight="1" x14ac:dyDescent="0.25">
      <c r="A1026" s="2" t="s">
        <v>237</v>
      </c>
      <c r="B1026" s="2" t="s">
        <v>1040</v>
      </c>
      <c r="C1026" s="5" t="s">
        <v>1973</v>
      </c>
      <c r="D1026" s="2" t="s">
        <v>1974</v>
      </c>
    </row>
    <row r="1027" spans="1:4" ht="12.95" customHeight="1" x14ac:dyDescent="0.25">
      <c r="A1027" s="2" t="s">
        <v>237</v>
      </c>
      <c r="B1027" s="2" t="s">
        <v>1040</v>
      </c>
      <c r="C1027" s="5" t="s">
        <v>1975</v>
      </c>
      <c r="D1027" s="2" t="s">
        <v>1976</v>
      </c>
    </row>
    <row r="1028" spans="1:4" ht="12.95" customHeight="1" x14ac:dyDescent="0.25">
      <c r="A1028" s="2" t="s">
        <v>237</v>
      </c>
      <c r="B1028" s="2" t="s">
        <v>1040</v>
      </c>
      <c r="C1028" s="5" t="s">
        <v>1977</v>
      </c>
      <c r="D1028" s="2" t="s">
        <v>1978</v>
      </c>
    </row>
    <row r="1029" spans="1:4" ht="12.95" customHeight="1" x14ac:dyDescent="0.25">
      <c r="A1029" s="2" t="s">
        <v>237</v>
      </c>
      <c r="B1029" s="2" t="s">
        <v>1040</v>
      </c>
      <c r="C1029" s="5" t="s">
        <v>1979</v>
      </c>
      <c r="D1029" s="2" t="s">
        <v>1980</v>
      </c>
    </row>
    <row r="1030" spans="1:4" ht="12.95" customHeight="1" x14ac:dyDescent="0.25">
      <c r="A1030" s="2" t="s">
        <v>237</v>
      </c>
      <c r="B1030" s="2" t="s">
        <v>1040</v>
      </c>
      <c r="C1030" s="5" t="s">
        <v>1981</v>
      </c>
      <c r="D1030" s="2" t="s">
        <v>1982</v>
      </c>
    </row>
    <row r="1031" spans="1:4" ht="12.95" customHeight="1" x14ac:dyDescent="0.25">
      <c r="A1031" s="2" t="s">
        <v>237</v>
      </c>
      <c r="B1031" s="2" t="s">
        <v>1040</v>
      </c>
      <c r="C1031" s="5" t="s">
        <v>1983</v>
      </c>
      <c r="D1031" s="2" t="s">
        <v>1984</v>
      </c>
    </row>
    <row r="1032" spans="1:4" ht="12.95" customHeight="1" x14ac:dyDescent="0.25">
      <c r="A1032" s="2" t="s">
        <v>237</v>
      </c>
      <c r="B1032" s="2" t="s">
        <v>1040</v>
      </c>
      <c r="C1032" s="5" t="s">
        <v>1985</v>
      </c>
      <c r="D1032" s="2" t="s">
        <v>1986</v>
      </c>
    </row>
    <row r="1033" spans="1:4" ht="12.95" customHeight="1" x14ac:dyDescent="0.25">
      <c r="A1033" s="2" t="s">
        <v>237</v>
      </c>
      <c r="B1033" s="2" t="s">
        <v>1040</v>
      </c>
      <c r="C1033" s="5" t="s">
        <v>1987</v>
      </c>
      <c r="D1033" s="2" t="s">
        <v>1988</v>
      </c>
    </row>
    <row r="1034" spans="1:4" ht="12.95" customHeight="1" x14ac:dyDescent="0.25">
      <c r="A1034" s="2" t="s">
        <v>237</v>
      </c>
      <c r="B1034" s="2" t="s">
        <v>1040</v>
      </c>
      <c r="C1034" s="5" t="s">
        <v>1989</v>
      </c>
      <c r="D1034" s="2" t="s">
        <v>1990</v>
      </c>
    </row>
    <row r="1035" spans="1:4" ht="12.95" customHeight="1" x14ac:dyDescent="0.25">
      <c r="A1035" s="2" t="s">
        <v>237</v>
      </c>
      <c r="B1035" s="2" t="s">
        <v>1040</v>
      </c>
      <c r="C1035" s="5" t="s">
        <v>1991</v>
      </c>
      <c r="D1035" s="2" t="s">
        <v>1992</v>
      </c>
    </row>
    <row r="1036" spans="1:4" ht="12.95" customHeight="1" x14ac:dyDescent="0.25">
      <c r="A1036" s="2" t="s">
        <v>237</v>
      </c>
      <c r="B1036" s="2" t="s">
        <v>1040</v>
      </c>
      <c r="C1036" s="5" t="s">
        <v>1993</v>
      </c>
      <c r="D1036" s="2" t="s">
        <v>1994</v>
      </c>
    </row>
    <row r="1037" spans="1:4" ht="12.95" customHeight="1" x14ac:dyDescent="0.25">
      <c r="A1037" s="2" t="s">
        <v>237</v>
      </c>
      <c r="B1037" s="2" t="s">
        <v>1040</v>
      </c>
      <c r="C1037" s="5" t="s">
        <v>1995</v>
      </c>
      <c r="D1037" s="2" t="s">
        <v>1996</v>
      </c>
    </row>
    <row r="1038" spans="1:4" ht="12.95" customHeight="1" x14ac:dyDescent="0.25">
      <c r="A1038" s="2" t="s">
        <v>237</v>
      </c>
      <c r="B1038" s="2" t="s">
        <v>1040</v>
      </c>
      <c r="C1038" s="5" t="s">
        <v>1997</v>
      </c>
      <c r="D1038" s="2" t="s">
        <v>1998</v>
      </c>
    </row>
    <row r="1039" spans="1:4" ht="12.95" customHeight="1" x14ac:dyDescent="0.25">
      <c r="A1039" s="2" t="s">
        <v>237</v>
      </c>
      <c r="B1039" s="2" t="s">
        <v>1040</v>
      </c>
      <c r="C1039" s="5" t="s">
        <v>1999</v>
      </c>
      <c r="D1039" s="2" t="s">
        <v>2000</v>
      </c>
    </row>
    <row r="1040" spans="1:4" ht="12.95" customHeight="1" x14ac:dyDescent="0.25">
      <c r="A1040" s="2" t="s">
        <v>237</v>
      </c>
      <c r="B1040" s="2" t="s">
        <v>1040</v>
      </c>
      <c r="C1040" s="5" t="s">
        <v>2001</v>
      </c>
      <c r="D1040" s="2" t="s">
        <v>2002</v>
      </c>
    </row>
    <row r="1041" spans="1:4" ht="12.95" customHeight="1" x14ac:dyDescent="0.25">
      <c r="A1041" s="2" t="s">
        <v>237</v>
      </c>
      <c r="B1041" s="2" t="s">
        <v>1040</v>
      </c>
      <c r="C1041" s="5" t="s">
        <v>2003</v>
      </c>
      <c r="D1041" s="2" t="s">
        <v>2004</v>
      </c>
    </row>
    <row r="1042" spans="1:4" ht="12.95" customHeight="1" x14ac:dyDescent="0.25">
      <c r="A1042" s="2" t="s">
        <v>237</v>
      </c>
      <c r="B1042" s="2" t="s">
        <v>1040</v>
      </c>
      <c r="C1042" s="5" t="s">
        <v>2005</v>
      </c>
      <c r="D1042" s="2" t="s">
        <v>2006</v>
      </c>
    </row>
    <row r="1043" spans="1:4" ht="12.95" customHeight="1" x14ac:dyDescent="0.25">
      <c r="A1043" s="2" t="s">
        <v>237</v>
      </c>
      <c r="B1043" s="2" t="s">
        <v>1040</v>
      </c>
      <c r="C1043" s="5" t="s">
        <v>2007</v>
      </c>
      <c r="D1043" s="2" t="s">
        <v>2008</v>
      </c>
    </row>
    <row r="1044" spans="1:4" ht="12.95" customHeight="1" x14ac:dyDescent="0.25">
      <c r="A1044" s="2" t="s">
        <v>237</v>
      </c>
      <c r="B1044" s="2" t="s">
        <v>1040</v>
      </c>
      <c r="C1044" s="5" t="s">
        <v>2009</v>
      </c>
      <c r="D1044" s="2" t="s">
        <v>2010</v>
      </c>
    </row>
    <row r="1045" spans="1:4" ht="12.95" customHeight="1" x14ac:dyDescent="0.25">
      <c r="A1045" s="2" t="s">
        <v>237</v>
      </c>
      <c r="B1045" s="2" t="s">
        <v>1040</v>
      </c>
      <c r="C1045" s="5" t="s">
        <v>2011</v>
      </c>
      <c r="D1045" s="2" t="s">
        <v>2012</v>
      </c>
    </row>
    <row r="1046" spans="1:4" ht="12.95" customHeight="1" x14ac:dyDescent="0.25">
      <c r="A1046" s="2" t="s">
        <v>237</v>
      </c>
      <c r="B1046" s="2" t="s">
        <v>1040</v>
      </c>
      <c r="C1046" s="5" t="s">
        <v>2013</v>
      </c>
      <c r="D1046" s="2" t="s">
        <v>2014</v>
      </c>
    </row>
    <row r="1047" spans="1:4" ht="12.95" customHeight="1" x14ac:dyDescent="0.25">
      <c r="A1047" s="2" t="s">
        <v>237</v>
      </c>
      <c r="B1047" s="2" t="s">
        <v>1040</v>
      </c>
      <c r="C1047" s="5" t="s">
        <v>2015</v>
      </c>
      <c r="D1047" s="2" t="s">
        <v>2016</v>
      </c>
    </row>
    <row r="1048" spans="1:4" ht="12.95" customHeight="1" x14ac:dyDescent="0.25">
      <c r="A1048" s="2" t="s">
        <v>237</v>
      </c>
      <c r="B1048" s="2" t="s">
        <v>1040</v>
      </c>
      <c r="C1048" s="5" t="s">
        <v>2017</v>
      </c>
      <c r="D1048" s="2" t="s">
        <v>2018</v>
      </c>
    </row>
    <row r="1049" spans="1:4" ht="12.95" customHeight="1" x14ac:dyDescent="0.25">
      <c r="A1049" s="2" t="s">
        <v>237</v>
      </c>
      <c r="B1049" s="2" t="s">
        <v>1040</v>
      </c>
      <c r="C1049" s="5" t="s">
        <v>2019</v>
      </c>
      <c r="D1049" s="2" t="s">
        <v>2020</v>
      </c>
    </row>
    <row r="1050" spans="1:4" ht="12.95" customHeight="1" x14ac:dyDescent="0.25">
      <c r="A1050" s="2" t="s">
        <v>237</v>
      </c>
      <c r="B1050" s="2" t="s">
        <v>1040</v>
      </c>
      <c r="C1050" s="5" t="s">
        <v>2021</v>
      </c>
      <c r="D1050" s="2" t="s">
        <v>2022</v>
      </c>
    </row>
    <row r="1051" spans="1:4" ht="12.95" customHeight="1" x14ac:dyDescent="0.25">
      <c r="A1051" s="2" t="s">
        <v>237</v>
      </c>
      <c r="B1051" s="2" t="s">
        <v>1040</v>
      </c>
      <c r="C1051" s="5" t="s">
        <v>2023</v>
      </c>
      <c r="D1051" s="2" t="s">
        <v>2024</v>
      </c>
    </row>
    <row r="1052" spans="1:4" ht="12.95" customHeight="1" x14ac:dyDescent="0.25">
      <c r="A1052" s="2" t="s">
        <v>237</v>
      </c>
      <c r="B1052" s="2" t="s">
        <v>1040</v>
      </c>
      <c r="C1052" s="5" t="s">
        <v>2025</v>
      </c>
      <c r="D1052" s="2" t="s">
        <v>2026</v>
      </c>
    </row>
    <row r="1053" spans="1:4" ht="12.95" customHeight="1" x14ac:dyDescent="0.25">
      <c r="A1053" s="2" t="s">
        <v>237</v>
      </c>
      <c r="B1053" s="2" t="s">
        <v>1040</v>
      </c>
      <c r="C1053" s="5" t="s">
        <v>2027</v>
      </c>
      <c r="D1053" s="2" t="s">
        <v>2028</v>
      </c>
    </row>
    <row r="1054" spans="1:4" ht="12.95" customHeight="1" x14ac:dyDescent="0.25">
      <c r="A1054" s="2" t="s">
        <v>237</v>
      </c>
      <c r="B1054" s="2" t="s">
        <v>1040</v>
      </c>
      <c r="C1054" s="5" t="s">
        <v>2029</v>
      </c>
      <c r="D1054" s="2" t="s">
        <v>2030</v>
      </c>
    </row>
    <row r="1055" spans="1:4" ht="12.95" customHeight="1" x14ac:dyDescent="0.25">
      <c r="A1055" s="2" t="s">
        <v>237</v>
      </c>
      <c r="B1055" s="2" t="s">
        <v>1040</v>
      </c>
      <c r="C1055" s="5" t="s">
        <v>2031</v>
      </c>
      <c r="D1055" s="2" t="s">
        <v>2032</v>
      </c>
    </row>
    <row r="1056" spans="1:4" ht="12.95" customHeight="1" x14ac:dyDescent="0.25">
      <c r="A1056" s="2" t="s">
        <v>237</v>
      </c>
      <c r="B1056" s="2" t="s">
        <v>1040</v>
      </c>
      <c r="C1056" s="5" t="s">
        <v>2033</v>
      </c>
      <c r="D1056" s="2" t="s">
        <v>2034</v>
      </c>
    </row>
    <row r="1057" spans="1:4" ht="12.95" customHeight="1" x14ac:dyDescent="0.25">
      <c r="A1057" s="2" t="s">
        <v>237</v>
      </c>
      <c r="B1057" s="2" t="s">
        <v>1040</v>
      </c>
      <c r="C1057" s="5" t="s">
        <v>2035</v>
      </c>
      <c r="D1057" s="2" t="s">
        <v>2036</v>
      </c>
    </row>
    <row r="1058" spans="1:4" ht="12.95" customHeight="1" x14ac:dyDescent="0.25">
      <c r="A1058" s="2" t="s">
        <v>237</v>
      </c>
      <c r="B1058" s="2" t="s">
        <v>1040</v>
      </c>
      <c r="C1058" s="5" t="s">
        <v>2037</v>
      </c>
      <c r="D1058" s="2" t="s">
        <v>2038</v>
      </c>
    </row>
    <row r="1059" spans="1:4" ht="12.95" customHeight="1" x14ac:dyDescent="0.25">
      <c r="A1059" s="2" t="s">
        <v>237</v>
      </c>
      <c r="B1059" s="2" t="s">
        <v>1040</v>
      </c>
      <c r="C1059" s="5" t="s">
        <v>2039</v>
      </c>
      <c r="D1059" s="2" t="s">
        <v>2040</v>
      </c>
    </row>
    <row r="1060" spans="1:4" ht="12.95" customHeight="1" x14ac:dyDescent="0.25">
      <c r="A1060" s="2" t="s">
        <v>237</v>
      </c>
      <c r="B1060" s="2" t="s">
        <v>1040</v>
      </c>
      <c r="C1060" s="5" t="s">
        <v>2041</v>
      </c>
      <c r="D1060" s="2" t="s">
        <v>2042</v>
      </c>
    </row>
    <row r="1061" spans="1:4" ht="12.95" customHeight="1" x14ac:dyDescent="0.25">
      <c r="A1061" s="2" t="s">
        <v>237</v>
      </c>
      <c r="B1061" s="2" t="s">
        <v>1040</v>
      </c>
      <c r="C1061" s="5" t="s">
        <v>2043</v>
      </c>
      <c r="D1061" s="2" t="s">
        <v>2044</v>
      </c>
    </row>
    <row r="1062" spans="1:4" ht="12.95" customHeight="1" x14ac:dyDescent="0.25">
      <c r="A1062" s="2" t="s">
        <v>237</v>
      </c>
      <c r="B1062" s="2" t="s">
        <v>1040</v>
      </c>
      <c r="C1062" s="5" t="s">
        <v>2045</v>
      </c>
      <c r="D1062" s="2" t="s">
        <v>2046</v>
      </c>
    </row>
    <row r="1063" spans="1:4" ht="12.95" customHeight="1" x14ac:dyDescent="0.25">
      <c r="A1063" s="2" t="s">
        <v>237</v>
      </c>
      <c r="B1063" s="2" t="s">
        <v>1040</v>
      </c>
      <c r="C1063" s="5" t="s">
        <v>2047</v>
      </c>
      <c r="D1063" s="2" t="s">
        <v>2048</v>
      </c>
    </row>
    <row r="1064" spans="1:4" ht="12.95" customHeight="1" x14ac:dyDescent="0.25">
      <c r="A1064" s="2" t="s">
        <v>237</v>
      </c>
      <c r="B1064" s="2" t="s">
        <v>1040</v>
      </c>
      <c r="C1064" s="5" t="s">
        <v>2049</v>
      </c>
      <c r="D1064" s="2" t="s">
        <v>2050</v>
      </c>
    </row>
    <row r="1065" spans="1:4" ht="12.95" customHeight="1" x14ac:dyDescent="0.25">
      <c r="A1065" s="2" t="s">
        <v>237</v>
      </c>
      <c r="B1065" s="2" t="s">
        <v>1040</v>
      </c>
      <c r="C1065" s="5" t="s">
        <v>2051</v>
      </c>
      <c r="D1065" s="2" t="s">
        <v>2052</v>
      </c>
    </row>
    <row r="1066" spans="1:4" ht="12.95" customHeight="1" x14ac:dyDescent="0.25">
      <c r="A1066" s="2" t="s">
        <v>237</v>
      </c>
      <c r="B1066" s="2" t="s">
        <v>1040</v>
      </c>
      <c r="C1066" s="5" t="s">
        <v>2053</v>
      </c>
      <c r="D1066" s="2" t="s">
        <v>2054</v>
      </c>
    </row>
    <row r="1067" spans="1:4" ht="12.95" customHeight="1" x14ac:dyDescent="0.25">
      <c r="A1067" s="2" t="s">
        <v>237</v>
      </c>
      <c r="B1067" s="2" t="s">
        <v>1040</v>
      </c>
      <c r="C1067" s="5" t="s">
        <v>2055</v>
      </c>
      <c r="D1067" s="2" t="s">
        <v>2056</v>
      </c>
    </row>
    <row r="1068" spans="1:4" ht="12.95" customHeight="1" x14ac:dyDescent="0.25">
      <c r="A1068" s="2" t="s">
        <v>237</v>
      </c>
      <c r="B1068" s="2" t="s">
        <v>1040</v>
      </c>
      <c r="C1068" s="5" t="s">
        <v>2057</v>
      </c>
      <c r="D1068" s="2" t="s">
        <v>2058</v>
      </c>
    </row>
    <row r="1069" spans="1:4" ht="12.95" customHeight="1" x14ac:dyDescent="0.25">
      <c r="A1069" s="2" t="s">
        <v>237</v>
      </c>
      <c r="B1069" s="2" t="s">
        <v>1040</v>
      </c>
      <c r="C1069" s="5" t="s">
        <v>2059</v>
      </c>
      <c r="D1069" s="2" t="s">
        <v>2060</v>
      </c>
    </row>
    <row r="1070" spans="1:4" ht="12.95" customHeight="1" x14ac:dyDescent="0.25">
      <c r="A1070" s="2" t="s">
        <v>237</v>
      </c>
      <c r="B1070" s="2" t="s">
        <v>1040</v>
      </c>
      <c r="C1070" s="5" t="s">
        <v>2061</v>
      </c>
      <c r="D1070" s="2" t="s">
        <v>2062</v>
      </c>
    </row>
    <row r="1071" spans="1:4" ht="12.95" customHeight="1" x14ac:dyDescent="0.25">
      <c r="A1071" s="2" t="s">
        <v>237</v>
      </c>
      <c r="B1071" s="2" t="s">
        <v>1040</v>
      </c>
      <c r="C1071" s="5" t="s">
        <v>2063</v>
      </c>
      <c r="D1071" s="2" t="s">
        <v>2064</v>
      </c>
    </row>
    <row r="1072" spans="1:4" ht="12.95" customHeight="1" x14ac:dyDescent="0.25">
      <c r="A1072" s="2" t="s">
        <v>237</v>
      </c>
      <c r="B1072" s="2" t="s">
        <v>1040</v>
      </c>
      <c r="C1072" s="5" t="s">
        <v>2065</v>
      </c>
      <c r="D1072" s="2" t="s">
        <v>2066</v>
      </c>
    </row>
    <row r="1073" spans="1:4" ht="12.95" customHeight="1" x14ac:dyDescent="0.25">
      <c r="A1073" s="2" t="s">
        <v>237</v>
      </c>
      <c r="B1073" s="2" t="s">
        <v>1040</v>
      </c>
      <c r="C1073" s="5" t="s">
        <v>2067</v>
      </c>
      <c r="D1073" s="2" t="s">
        <v>2068</v>
      </c>
    </row>
    <row r="1074" spans="1:4" ht="12.95" customHeight="1" x14ac:dyDescent="0.25">
      <c r="A1074" s="2" t="s">
        <v>237</v>
      </c>
      <c r="B1074" s="2" t="s">
        <v>1040</v>
      </c>
      <c r="C1074" s="5" t="s">
        <v>2069</v>
      </c>
      <c r="D1074" s="2" t="s">
        <v>2070</v>
      </c>
    </row>
    <row r="1075" spans="1:4" ht="12.95" customHeight="1" x14ac:dyDescent="0.25">
      <c r="A1075" s="2" t="s">
        <v>237</v>
      </c>
      <c r="B1075" s="2" t="s">
        <v>1040</v>
      </c>
      <c r="C1075" s="5" t="s">
        <v>2071</v>
      </c>
      <c r="D1075" s="2" t="s">
        <v>2072</v>
      </c>
    </row>
    <row r="1076" spans="1:4" ht="12.95" customHeight="1" x14ac:dyDescent="0.25">
      <c r="A1076" s="2" t="s">
        <v>237</v>
      </c>
      <c r="B1076" s="2" t="s">
        <v>1040</v>
      </c>
      <c r="C1076" s="5" t="s">
        <v>2073</v>
      </c>
      <c r="D1076" s="2" t="s">
        <v>2074</v>
      </c>
    </row>
    <row r="1077" spans="1:4" ht="12.95" customHeight="1" x14ac:dyDescent="0.25">
      <c r="A1077" s="2" t="s">
        <v>237</v>
      </c>
      <c r="B1077" s="2" t="s">
        <v>1040</v>
      </c>
      <c r="C1077" s="5" t="s">
        <v>2075</v>
      </c>
      <c r="D1077" s="2" t="s">
        <v>2076</v>
      </c>
    </row>
    <row r="1078" spans="1:4" ht="12.95" customHeight="1" x14ac:dyDescent="0.25">
      <c r="A1078" s="2" t="s">
        <v>237</v>
      </c>
      <c r="B1078" s="2" t="s">
        <v>1040</v>
      </c>
      <c r="C1078" s="5" t="s">
        <v>2077</v>
      </c>
      <c r="D1078" s="2" t="s">
        <v>2078</v>
      </c>
    </row>
    <row r="1079" spans="1:4" ht="12.95" customHeight="1" x14ac:dyDescent="0.25">
      <c r="A1079" s="2" t="s">
        <v>237</v>
      </c>
      <c r="B1079" s="2" t="s">
        <v>1040</v>
      </c>
      <c r="C1079" s="5" t="s">
        <v>2079</v>
      </c>
      <c r="D1079" s="2" t="s">
        <v>2080</v>
      </c>
    </row>
    <row r="1080" spans="1:4" ht="12.95" customHeight="1" x14ac:dyDescent="0.25">
      <c r="A1080" s="2" t="s">
        <v>237</v>
      </c>
      <c r="B1080" s="2" t="s">
        <v>1040</v>
      </c>
      <c r="C1080" s="5" t="s">
        <v>2081</v>
      </c>
      <c r="D1080" s="2" t="s">
        <v>2082</v>
      </c>
    </row>
    <row r="1081" spans="1:4" ht="12.95" customHeight="1" x14ac:dyDescent="0.25">
      <c r="A1081" s="2" t="s">
        <v>237</v>
      </c>
      <c r="B1081" s="2" t="s">
        <v>1040</v>
      </c>
      <c r="C1081" s="5" t="s">
        <v>2083</v>
      </c>
      <c r="D1081" s="2" t="s">
        <v>2084</v>
      </c>
    </row>
    <row r="1082" spans="1:4" ht="12.95" customHeight="1" x14ac:dyDescent="0.25">
      <c r="A1082" s="2" t="s">
        <v>237</v>
      </c>
      <c r="B1082" s="2" t="s">
        <v>1040</v>
      </c>
      <c r="C1082" s="5" t="s">
        <v>2085</v>
      </c>
      <c r="D1082" s="2" t="s">
        <v>2086</v>
      </c>
    </row>
    <row r="1083" spans="1:4" ht="12.95" customHeight="1" x14ac:dyDescent="0.25">
      <c r="A1083" s="2" t="s">
        <v>237</v>
      </c>
      <c r="B1083" s="2" t="s">
        <v>1040</v>
      </c>
      <c r="C1083" s="5" t="s">
        <v>2087</v>
      </c>
      <c r="D1083" s="2" t="s">
        <v>2088</v>
      </c>
    </row>
    <row r="1084" spans="1:4" ht="12.95" customHeight="1" x14ac:dyDescent="0.25">
      <c r="A1084" s="2" t="s">
        <v>237</v>
      </c>
      <c r="B1084" s="2" t="s">
        <v>1040</v>
      </c>
      <c r="C1084" s="5" t="s">
        <v>2089</v>
      </c>
      <c r="D1084" s="2" t="s">
        <v>2090</v>
      </c>
    </row>
    <row r="1085" spans="1:4" ht="12.95" customHeight="1" x14ac:dyDescent="0.25">
      <c r="A1085" s="2" t="s">
        <v>237</v>
      </c>
      <c r="B1085" s="2" t="s">
        <v>1040</v>
      </c>
      <c r="C1085" s="5" t="s">
        <v>2091</v>
      </c>
      <c r="D1085" s="2" t="s">
        <v>2092</v>
      </c>
    </row>
    <row r="1086" spans="1:4" ht="12.95" customHeight="1" x14ac:dyDescent="0.25">
      <c r="A1086" s="2" t="s">
        <v>237</v>
      </c>
      <c r="B1086" s="2" t="s">
        <v>1040</v>
      </c>
      <c r="C1086" s="5" t="s">
        <v>2093</v>
      </c>
      <c r="D1086" s="2" t="s">
        <v>2094</v>
      </c>
    </row>
    <row r="1087" spans="1:4" ht="12.95" customHeight="1" x14ac:dyDescent="0.25">
      <c r="A1087" s="2" t="s">
        <v>237</v>
      </c>
      <c r="B1087" s="2" t="s">
        <v>1040</v>
      </c>
      <c r="C1087" s="5" t="s">
        <v>2095</v>
      </c>
      <c r="D1087" s="2" t="s">
        <v>2096</v>
      </c>
    </row>
    <row r="1088" spans="1:4" ht="12.95" customHeight="1" x14ac:dyDescent="0.25">
      <c r="A1088" s="2" t="s">
        <v>237</v>
      </c>
      <c r="B1088" s="2" t="s">
        <v>1040</v>
      </c>
      <c r="C1088" s="5" t="s">
        <v>2097</v>
      </c>
      <c r="D1088" s="2" t="s">
        <v>2098</v>
      </c>
    </row>
    <row r="1089" spans="1:4" ht="12.95" customHeight="1" x14ac:dyDescent="0.25">
      <c r="A1089" s="2" t="s">
        <v>237</v>
      </c>
      <c r="B1089" s="2" t="s">
        <v>1040</v>
      </c>
      <c r="C1089" s="5" t="s">
        <v>2099</v>
      </c>
      <c r="D1089" s="2" t="s">
        <v>2100</v>
      </c>
    </row>
    <row r="1090" spans="1:4" ht="12.95" customHeight="1" x14ac:dyDescent="0.25">
      <c r="A1090" s="2" t="s">
        <v>237</v>
      </c>
      <c r="B1090" s="2" t="s">
        <v>1040</v>
      </c>
      <c r="C1090" s="5" t="s">
        <v>2101</v>
      </c>
      <c r="D1090" s="2" t="s">
        <v>2102</v>
      </c>
    </row>
    <row r="1091" spans="1:4" ht="12.95" customHeight="1" x14ac:dyDescent="0.25">
      <c r="A1091" s="2" t="s">
        <v>237</v>
      </c>
      <c r="B1091" s="2" t="s">
        <v>1040</v>
      </c>
      <c r="C1091" s="5" t="s">
        <v>2103</v>
      </c>
      <c r="D1091" s="2" t="s">
        <v>2104</v>
      </c>
    </row>
    <row r="1092" spans="1:4" ht="12.95" customHeight="1" x14ac:dyDescent="0.25">
      <c r="A1092" s="2" t="s">
        <v>237</v>
      </c>
      <c r="B1092" s="2" t="s">
        <v>1040</v>
      </c>
      <c r="C1092" s="5" t="s">
        <v>2105</v>
      </c>
      <c r="D1092" s="2" t="s">
        <v>2106</v>
      </c>
    </row>
    <row r="1093" spans="1:4" ht="12.95" customHeight="1" x14ac:dyDescent="0.25">
      <c r="A1093" s="2" t="s">
        <v>237</v>
      </c>
      <c r="B1093" s="2" t="s">
        <v>1040</v>
      </c>
      <c r="C1093" s="5" t="s">
        <v>2107</v>
      </c>
      <c r="D1093" s="2" t="s">
        <v>2108</v>
      </c>
    </row>
    <row r="1094" spans="1:4" ht="12.95" customHeight="1" x14ac:dyDescent="0.25">
      <c r="A1094" s="2" t="s">
        <v>237</v>
      </c>
      <c r="B1094" s="2" t="s">
        <v>1040</v>
      </c>
      <c r="C1094" s="5" t="s">
        <v>2109</v>
      </c>
      <c r="D1094" s="2" t="s">
        <v>2110</v>
      </c>
    </row>
    <row r="1095" spans="1:4" ht="12.95" customHeight="1" x14ac:dyDescent="0.25">
      <c r="A1095" s="2" t="s">
        <v>237</v>
      </c>
      <c r="B1095" s="2" t="s">
        <v>1040</v>
      </c>
      <c r="C1095" s="5" t="s">
        <v>2111</v>
      </c>
      <c r="D1095" s="2" t="s">
        <v>2112</v>
      </c>
    </row>
    <row r="1096" spans="1:4" ht="12.95" customHeight="1" x14ac:dyDescent="0.25">
      <c r="A1096" s="2" t="s">
        <v>237</v>
      </c>
      <c r="B1096" s="2" t="s">
        <v>1040</v>
      </c>
      <c r="C1096" s="5" t="s">
        <v>2113</v>
      </c>
      <c r="D1096" s="2" t="s">
        <v>2114</v>
      </c>
    </row>
    <row r="1097" spans="1:4" ht="12.95" customHeight="1" x14ac:dyDescent="0.25">
      <c r="A1097" s="2" t="s">
        <v>237</v>
      </c>
      <c r="B1097" s="2" t="s">
        <v>1040</v>
      </c>
      <c r="C1097" s="5" t="s">
        <v>2115</v>
      </c>
      <c r="D1097" s="2" t="s">
        <v>2116</v>
      </c>
    </row>
    <row r="1098" spans="1:4" ht="12.95" customHeight="1" x14ac:dyDescent="0.25">
      <c r="A1098" s="2" t="s">
        <v>237</v>
      </c>
      <c r="B1098" s="2" t="s">
        <v>1040</v>
      </c>
      <c r="C1098" s="5" t="s">
        <v>2117</v>
      </c>
      <c r="D1098" s="2" t="s">
        <v>2118</v>
      </c>
    </row>
    <row r="1099" spans="1:4" ht="12.95" customHeight="1" x14ac:dyDescent="0.25">
      <c r="A1099" s="2" t="s">
        <v>237</v>
      </c>
      <c r="B1099" s="2" t="s">
        <v>1040</v>
      </c>
      <c r="C1099" s="5" t="s">
        <v>2119</v>
      </c>
      <c r="D1099" s="2" t="s">
        <v>2120</v>
      </c>
    </row>
    <row r="1100" spans="1:4" ht="12.95" customHeight="1" x14ac:dyDescent="0.25">
      <c r="A1100" s="2" t="s">
        <v>237</v>
      </c>
      <c r="B1100" s="2" t="s">
        <v>1040</v>
      </c>
      <c r="C1100" s="5" t="s">
        <v>2121</v>
      </c>
      <c r="D1100" s="2" t="s">
        <v>2122</v>
      </c>
    </row>
    <row r="1101" spans="1:4" ht="12.95" customHeight="1" x14ac:dyDescent="0.25">
      <c r="A1101" s="2" t="s">
        <v>237</v>
      </c>
      <c r="B1101" s="2" t="s">
        <v>1040</v>
      </c>
      <c r="C1101" s="5" t="s">
        <v>2123</v>
      </c>
      <c r="D1101" s="2" t="s">
        <v>2124</v>
      </c>
    </row>
    <row r="1102" spans="1:4" ht="12.95" customHeight="1" x14ac:dyDescent="0.25">
      <c r="A1102" s="2" t="s">
        <v>237</v>
      </c>
      <c r="B1102" s="2" t="s">
        <v>1040</v>
      </c>
      <c r="C1102" s="5" t="s">
        <v>2125</v>
      </c>
      <c r="D1102" s="2" t="s">
        <v>2126</v>
      </c>
    </row>
    <row r="1103" spans="1:4" ht="12.95" customHeight="1" x14ac:dyDescent="0.25">
      <c r="A1103" s="2" t="s">
        <v>237</v>
      </c>
      <c r="B1103" s="2" t="s">
        <v>1040</v>
      </c>
      <c r="C1103" s="5" t="s">
        <v>2127</v>
      </c>
      <c r="D1103" s="2" t="s">
        <v>2128</v>
      </c>
    </row>
    <row r="1104" spans="1:4" ht="12.95" customHeight="1" x14ac:dyDescent="0.25">
      <c r="A1104" s="2" t="s">
        <v>237</v>
      </c>
      <c r="B1104" s="2" t="s">
        <v>1040</v>
      </c>
      <c r="C1104" s="5" t="s">
        <v>2129</v>
      </c>
      <c r="D1104" s="2" t="s">
        <v>2130</v>
      </c>
    </row>
    <row r="1105" spans="1:4" ht="12.95" customHeight="1" x14ac:dyDescent="0.25">
      <c r="A1105" s="2" t="s">
        <v>237</v>
      </c>
      <c r="B1105" s="2" t="s">
        <v>1040</v>
      </c>
      <c r="C1105" s="5" t="s">
        <v>2131</v>
      </c>
      <c r="D1105" s="2" t="s">
        <v>2132</v>
      </c>
    </row>
    <row r="1106" spans="1:4" ht="12.95" customHeight="1" x14ac:dyDescent="0.25">
      <c r="A1106" s="2" t="s">
        <v>237</v>
      </c>
      <c r="B1106" s="2" t="s">
        <v>1040</v>
      </c>
      <c r="C1106" s="5" t="s">
        <v>2133</v>
      </c>
      <c r="D1106" s="2" t="s">
        <v>2134</v>
      </c>
    </row>
    <row r="1107" spans="1:4" ht="12.95" customHeight="1" x14ac:dyDescent="0.25">
      <c r="A1107" s="2" t="s">
        <v>237</v>
      </c>
      <c r="B1107" s="2" t="s">
        <v>1040</v>
      </c>
      <c r="C1107" s="5" t="s">
        <v>2135</v>
      </c>
      <c r="D1107" s="2" t="s">
        <v>2136</v>
      </c>
    </row>
    <row r="1108" spans="1:4" ht="12.95" customHeight="1" x14ac:dyDescent="0.25">
      <c r="A1108" s="2" t="s">
        <v>237</v>
      </c>
      <c r="B1108" s="2" t="s">
        <v>1040</v>
      </c>
      <c r="C1108" s="5" t="s">
        <v>2137</v>
      </c>
      <c r="D1108" s="2" t="s">
        <v>2138</v>
      </c>
    </row>
    <row r="1109" spans="1:4" ht="12.95" customHeight="1" x14ac:dyDescent="0.25">
      <c r="A1109" s="2" t="s">
        <v>237</v>
      </c>
      <c r="B1109" s="2" t="s">
        <v>1040</v>
      </c>
      <c r="C1109" s="5" t="s">
        <v>2139</v>
      </c>
      <c r="D1109" s="2" t="s">
        <v>2140</v>
      </c>
    </row>
    <row r="1110" spans="1:4" ht="12.95" customHeight="1" x14ac:dyDescent="0.25">
      <c r="A1110" s="2" t="s">
        <v>237</v>
      </c>
      <c r="B1110" s="2" t="s">
        <v>1040</v>
      </c>
      <c r="C1110" s="5" t="s">
        <v>2141</v>
      </c>
      <c r="D1110" s="2" t="s">
        <v>2142</v>
      </c>
    </row>
    <row r="1111" spans="1:4" ht="12.95" customHeight="1" x14ac:dyDescent="0.25">
      <c r="A1111" s="2" t="s">
        <v>237</v>
      </c>
      <c r="B1111" s="2" t="s">
        <v>1040</v>
      </c>
      <c r="C1111" s="5" t="s">
        <v>2143</v>
      </c>
      <c r="D1111" s="2" t="s">
        <v>2144</v>
      </c>
    </row>
    <row r="1112" spans="1:4" ht="12.95" customHeight="1" x14ac:dyDescent="0.25">
      <c r="A1112" s="2" t="s">
        <v>237</v>
      </c>
      <c r="B1112" s="2" t="s">
        <v>1040</v>
      </c>
      <c r="C1112" s="5" t="s">
        <v>2145</v>
      </c>
      <c r="D1112" s="2" t="s">
        <v>2146</v>
      </c>
    </row>
    <row r="1113" spans="1:4" ht="12.95" customHeight="1" x14ac:dyDescent="0.25">
      <c r="A1113" s="2" t="s">
        <v>237</v>
      </c>
      <c r="B1113" s="2" t="s">
        <v>1040</v>
      </c>
      <c r="C1113" s="5" t="s">
        <v>2147</v>
      </c>
      <c r="D1113" s="2" t="s">
        <v>2148</v>
      </c>
    </row>
    <row r="1114" spans="1:4" ht="12.95" customHeight="1" x14ac:dyDescent="0.25">
      <c r="A1114" s="2" t="s">
        <v>237</v>
      </c>
      <c r="B1114" s="2" t="s">
        <v>1040</v>
      </c>
      <c r="C1114" s="5" t="s">
        <v>2149</v>
      </c>
      <c r="D1114" s="2" t="s">
        <v>2150</v>
      </c>
    </row>
    <row r="1115" spans="1:4" ht="12.95" customHeight="1" x14ac:dyDescent="0.25">
      <c r="A1115" s="2" t="s">
        <v>237</v>
      </c>
      <c r="B1115" s="2" t="s">
        <v>1040</v>
      </c>
      <c r="C1115" s="5" t="s">
        <v>2151</v>
      </c>
      <c r="D1115" s="2" t="s">
        <v>2152</v>
      </c>
    </row>
    <row r="1116" spans="1:4" ht="12.95" customHeight="1" x14ac:dyDescent="0.25">
      <c r="A1116" s="2" t="s">
        <v>237</v>
      </c>
      <c r="B1116" s="2" t="s">
        <v>1040</v>
      </c>
      <c r="C1116" s="5" t="s">
        <v>2153</v>
      </c>
      <c r="D1116" s="2" t="s">
        <v>2154</v>
      </c>
    </row>
    <row r="1117" spans="1:4" ht="12.95" customHeight="1" x14ac:dyDescent="0.25">
      <c r="A1117" s="2" t="s">
        <v>237</v>
      </c>
      <c r="B1117" s="2" t="s">
        <v>1040</v>
      </c>
      <c r="C1117" s="5" t="s">
        <v>2155</v>
      </c>
      <c r="D1117" s="2" t="s">
        <v>2156</v>
      </c>
    </row>
    <row r="1118" spans="1:4" ht="12.95" customHeight="1" x14ac:dyDescent="0.25">
      <c r="A1118" s="2" t="s">
        <v>237</v>
      </c>
      <c r="B1118" s="2" t="s">
        <v>1040</v>
      </c>
      <c r="C1118" s="5" t="s">
        <v>2157</v>
      </c>
      <c r="D1118" s="2" t="s">
        <v>2158</v>
      </c>
    </row>
    <row r="1119" spans="1:4" ht="12.95" customHeight="1" x14ac:dyDescent="0.25">
      <c r="A1119" s="2" t="s">
        <v>237</v>
      </c>
      <c r="B1119" s="2" t="s">
        <v>1040</v>
      </c>
      <c r="C1119" s="5" t="s">
        <v>2159</v>
      </c>
      <c r="D1119" s="2" t="s">
        <v>2160</v>
      </c>
    </row>
    <row r="1120" spans="1:4" ht="12.95" customHeight="1" x14ac:dyDescent="0.25">
      <c r="A1120" s="2" t="s">
        <v>237</v>
      </c>
      <c r="B1120" s="2" t="s">
        <v>1040</v>
      </c>
      <c r="C1120" s="5" t="s">
        <v>2161</v>
      </c>
      <c r="D1120" s="2" t="s">
        <v>2162</v>
      </c>
    </row>
    <row r="1121" spans="1:4" ht="12.95" customHeight="1" x14ac:dyDescent="0.25">
      <c r="A1121" s="2" t="s">
        <v>237</v>
      </c>
      <c r="B1121" s="2" t="s">
        <v>1040</v>
      </c>
      <c r="C1121" s="5" t="s">
        <v>2163</v>
      </c>
      <c r="D1121" s="2" t="s">
        <v>2164</v>
      </c>
    </row>
    <row r="1122" spans="1:4" ht="12.95" customHeight="1" x14ac:dyDescent="0.25">
      <c r="A1122" s="2" t="s">
        <v>237</v>
      </c>
      <c r="B1122" s="2" t="s">
        <v>1040</v>
      </c>
      <c r="C1122" s="5" t="s">
        <v>2165</v>
      </c>
      <c r="D1122" s="2" t="s">
        <v>2166</v>
      </c>
    </row>
    <row r="1123" spans="1:4" ht="12.95" customHeight="1" x14ac:dyDescent="0.25">
      <c r="A1123" s="2" t="s">
        <v>237</v>
      </c>
      <c r="B1123" s="2" t="s">
        <v>1040</v>
      </c>
      <c r="C1123" s="5" t="s">
        <v>2167</v>
      </c>
      <c r="D1123" s="2" t="s">
        <v>2168</v>
      </c>
    </row>
    <row r="1124" spans="1:4" ht="12.95" customHeight="1" x14ac:dyDescent="0.25">
      <c r="A1124" s="2" t="s">
        <v>237</v>
      </c>
      <c r="B1124" s="2" t="s">
        <v>1040</v>
      </c>
      <c r="C1124" s="5" t="s">
        <v>2169</v>
      </c>
      <c r="D1124" s="2" t="s">
        <v>2170</v>
      </c>
    </row>
    <row r="1125" spans="1:4" ht="12.95" customHeight="1" x14ac:dyDescent="0.25">
      <c r="A1125" s="2" t="s">
        <v>237</v>
      </c>
      <c r="B1125" s="2" t="s">
        <v>1040</v>
      </c>
      <c r="C1125" s="5" t="s">
        <v>2171</v>
      </c>
      <c r="D1125" s="2" t="s">
        <v>2172</v>
      </c>
    </row>
    <row r="1126" spans="1:4" ht="12.95" customHeight="1" x14ac:dyDescent="0.25">
      <c r="A1126" s="2" t="s">
        <v>237</v>
      </c>
      <c r="B1126" s="2" t="s">
        <v>1040</v>
      </c>
      <c r="C1126" s="5" t="s">
        <v>2173</v>
      </c>
      <c r="D1126" s="2" t="s">
        <v>2174</v>
      </c>
    </row>
    <row r="1127" spans="1:4" ht="12.95" customHeight="1" x14ac:dyDescent="0.25">
      <c r="A1127" s="2" t="s">
        <v>237</v>
      </c>
      <c r="B1127" s="2" t="s">
        <v>1040</v>
      </c>
      <c r="C1127" s="5" t="s">
        <v>2175</v>
      </c>
      <c r="D1127" s="2" t="s">
        <v>2176</v>
      </c>
    </row>
    <row r="1128" spans="1:4" ht="12.95" customHeight="1" x14ac:dyDescent="0.25">
      <c r="A1128" s="2" t="s">
        <v>237</v>
      </c>
      <c r="B1128" s="2" t="s">
        <v>1040</v>
      </c>
      <c r="C1128" s="5" t="s">
        <v>2177</v>
      </c>
      <c r="D1128" s="2" t="s">
        <v>2178</v>
      </c>
    </row>
    <row r="1129" spans="1:4" ht="12.95" customHeight="1" x14ac:dyDescent="0.25">
      <c r="A1129" s="2" t="s">
        <v>237</v>
      </c>
      <c r="B1129" s="2" t="s">
        <v>1040</v>
      </c>
      <c r="C1129" s="5" t="s">
        <v>2179</v>
      </c>
      <c r="D1129" s="2" t="s">
        <v>2180</v>
      </c>
    </row>
    <row r="1130" spans="1:4" ht="12.95" customHeight="1" x14ac:dyDescent="0.25">
      <c r="A1130" s="2" t="s">
        <v>237</v>
      </c>
      <c r="B1130" s="2" t="s">
        <v>1040</v>
      </c>
      <c r="C1130" s="5" t="s">
        <v>2181</v>
      </c>
      <c r="D1130" s="2" t="s">
        <v>2182</v>
      </c>
    </row>
    <row r="1131" spans="1:4" ht="12.95" customHeight="1" x14ac:dyDescent="0.25">
      <c r="A1131" s="2" t="s">
        <v>237</v>
      </c>
      <c r="B1131" s="2" t="s">
        <v>1040</v>
      </c>
      <c r="C1131" s="5" t="s">
        <v>2183</v>
      </c>
      <c r="D1131" s="2" t="s">
        <v>2184</v>
      </c>
    </row>
    <row r="1132" spans="1:4" ht="12.95" customHeight="1" x14ac:dyDescent="0.25">
      <c r="A1132" s="2" t="s">
        <v>237</v>
      </c>
      <c r="B1132" s="2" t="s">
        <v>1040</v>
      </c>
      <c r="C1132" s="5" t="s">
        <v>2185</v>
      </c>
      <c r="D1132" s="2" t="s">
        <v>2186</v>
      </c>
    </row>
    <row r="1133" spans="1:4" ht="12.95" customHeight="1" x14ac:dyDescent="0.25">
      <c r="A1133" s="2" t="s">
        <v>237</v>
      </c>
      <c r="B1133" s="2" t="s">
        <v>1040</v>
      </c>
      <c r="C1133" s="5" t="s">
        <v>2187</v>
      </c>
      <c r="D1133" s="2" t="s">
        <v>2188</v>
      </c>
    </row>
    <row r="1134" spans="1:4" ht="12.95" customHeight="1" x14ac:dyDescent="0.25">
      <c r="A1134" s="2" t="s">
        <v>237</v>
      </c>
      <c r="B1134" s="2" t="s">
        <v>1040</v>
      </c>
      <c r="C1134" s="5" t="s">
        <v>2189</v>
      </c>
      <c r="D1134" s="2" t="s">
        <v>2190</v>
      </c>
    </row>
    <row r="1135" spans="1:4" ht="12.95" customHeight="1" x14ac:dyDescent="0.25">
      <c r="A1135" s="2" t="s">
        <v>237</v>
      </c>
      <c r="B1135" s="2" t="s">
        <v>1040</v>
      </c>
      <c r="C1135" s="5" t="s">
        <v>2191</v>
      </c>
      <c r="D1135" s="2" t="s">
        <v>2192</v>
      </c>
    </row>
    <row r="1136" spans="1:4" ht="12.95" customHeight="1" x14ac:dyDescent="0.25">
      <c r="A1136" s="2" t="s">
        <v>237</v>
      </c>
      <c r="B1136" s="2" t="s">
        <v>1040</v>
      </c>
      <c r="C1136" s="5" t="s">
        <v>2193</v>
      </c>
      <c r="D1136" s="2" t="s">
        <v>2194</v>
      </c>
    </row>
    <row r="1137" spans="1:4" ht="12.95" customHeight="1" x14ac:dyDescent="0.25">
      <c r="A1137" s="2" t="s">
        <v>237</v>
      </c>
      <c r="B1137" s="2" t="s">
        <v>1040</v>
      </c>
      <c r="C1137" s="5" t="s">
        <v>2195</v>
      </c>
      <c r="D1137" s="2" t="s">
        <v>2196</v>
      </c>
    </row>
    <row r="1138" spans="1:4" ht="12.95" customHeight="1" x14ac:dyDescent="0.25">
      <c r="A1138" s="2" t="s">
        <v>237</v>
      </c>
      <c r="B1138" s="2" t="s">
        <v>1040</v>
      </c>
      <c r="C1138" s="5" t="s">
        <v>2197</v>
      </c>
      <c r="D1138" s="2" t="s">
        <v>2198</v>
      </c>
    </row>
    <row r="1139" spans="1:4" ht="12.95" customHeight="1" x14ac:dyDescent="0.25">
      <c r="A1139" s="2" t="s">
        <v>237</v>
      </c>
      <c r="B1139" s="2" t="s">
        <v>1040</v>
      </c>
      <c r="C1139" s="5" t="s">
        <v>2199</v>
      </c>
      <c r="D1139" s="2" t="s">
        <v>2200</v>
      </c>
    </row>
    <row r="1140" spans="1:4" ht="12.95" customHeight="1" x14ac:dyDescent="0.25">
      <c r="A1140" s="2" t="s">
        <v>237</v>
      </c>
      <c r="B1140" s="2" t="s">
        <v>1040</v>
      </c>
      <c r="C1140" s="5" t="s">
        <v>2201</v>
      </c>
      <c r="D1140" s="2" t="s">
        <v>2202</v>
      </c>
    </row>
    <row r="1141" spans="1:4" ht="12.95" customHeight="1" x14ac:dyDescent="0.25">
      <c r="A1141" s="2" t="s">
        <v>237</v>
      </c>
      <c r="B1141" s="2" t="s">
        <v>1040</v>
      </c>
      <c r="C1141" s="5" t="s">
        <v>2203</v>
      </c>
      <c r="D1141" s="2" t="s">
        <v>2204</v>
      </c>
    </row>
    <row r="1142" spans="1:4" ht="12.95" customHeight="1" x14ac:dyDescent="0.25">
      <c r="A1142" s="2" t="s">
        <v>237</v>
      </c>
      <c r="B1142" s="2" t="s">
        <v>1040</v>
      </c>
      <c r="C1142" s="5" t="s">
        <v>2205</v>
      </c>
      <c r="D1142" s="2" t="s">
        <v>2206</v>
      </c>
    </row>
    <row r="1143" spans="1:4" ht="12.95" customHeight="1" x14ac:dyDescent="0.25">
      <c r="A1143" s="2" t="s">
        <v>237</v>
      </c>
      <c r="B1143" s="2" t="s">
        <v>1040</v>
      </c>
      <c r="C1143" s="5" t="s">
        <v>2207</v>
      </c>
      <c r="D1143" s="2" t="s">
        <v>2208</v>
      </c>
    </row>
    <row r="1144" spans="1:4" ht="12.95" customHeight="1" x14ac:dyDescent="0.25">
      <c r="A1144" s="2" t="s">
        <v>237</v>
      </c>
      <c r="B1144" s="2" t="s">
        <v>1040</v>
      </c>
      <c r="C1144" s="5" t="s">
        <v>2209</v>
      </c>
      <c r="D1144" s="2" t="s">
        <v>2210</v>
      </c>
    </row>
    <row r="1145" spans="1:4" ht="12.95" customHeight="1" x14ac:dyDescent="0.25">
      <c r="A1145" s="2" t="s">
        <v>237</v>
      </c>
      <c r="B1145" s="2" t="s">
        <v>1040</v>
      </c>
      <c r="C1145" s="5" t="s">
        <v>2211</v>
      </c>
      <c r="D1145" s="2" t="s">
        <v>2212</v>
      </c>
    </row>
    <row r="1146" spans="1:4" ht="12.95" customHeight="1" x14ac:dyDescent="0.25">
      <c r="A1146" s="2" t="s">
        <v>237</v>
      </c>
      <c r="B1146" s="2" t="s">
        <v>1040</v>
      </c>
      <c r="C1146" s="5" t="s">
        <v>2213</v>
      </c>
      <c r="D1146" s="2" t="s">
        <v>2214</v>
      </c>
    </row>
    <row r="1147" spans="1:4" ht="12.95" customHeight="1" x14ac:dyDescent="0.25">
      <c r="A1147" s="2" t="s">
        <v>237</v>
      </c>
      <c r="B1147" s="2" t="s">
        <v>1040</v>
      </c>
      <c r="C1147" s="5" t="s">
        <v>2215</v>
      </c>
      <c r="D1147" s="2" t="s">
        <v>2216</v>
      </c>
    </row>
    <row r="1148" spans="1:4" ht="12.95" customHeight="1" x14ac:dyDescent="0.25">
      <c r="A1148" s="2" t="s">
        <v>237</v>
      </c>
      <c r="B1148" s="2" t="s">
        <v>1040</v>
      </c>
      <c r="C1148" s="5" t="s">
        <v>2217</v>
      </c>
      <c r="D1148" s="2" t="s">
        <v>2218</v>
      </c>
    </row>
    <row r="1149" spans="1:4" ht="12.95" customHeight="1" x14ac:dyDescent="0.25">
      <c r="A1149" s="2" t="s">
        <v>237</v>
      </c>
      <c r="B1149" s="2" t="s">
        <v>1040</v>
      </c>
      <c r="C1149" s="5" t="s">
        <v>2219</v>
      </c>
      <c r="D1149" s="2" t="s">
        <v>2220</v>
      </c>
    </row>
    <row r="1150" spans="1:4" ht="12.95" customHeight="1" x14ac:dyDescent="0.25">
      <c r="A1150" s="2" t="s">
        <v>237</v>
      </c>
      <c r="B1150" s="2" t="s">
        <v>1040</v>
      </c>
      <c r="C1150" s="5" t="s">
        <v>2221</v>
      </c>
      <c r="D1150" s="2" t="s">
        <v>2222</v>
      </c>
    </row>
    <row r="1151" spans="1:4" ht="12.95" customHeight="1" x14ac:dyDescent="0.25">
      <c r="A1151" s="2" t="s">
        <v>237</v>
      </c>
      <c r="B1151" s="2" t="s">
        <v>1040</v>
      </c>
      <c r="C1151" s="5" t="s">
        <v>2223</v>
      </c>
      <c r="D1151" s="2" t="s">
        <v>2224</v>
      </c>
    </row>
    <row r="1152" spans="1:4" ht="12.95" customHeight="1" x14ac:dyDescent="0.25">
      <c r="A1152" s="2" t="s">
        <v>237</v>
      </c>
      <c r="B1152" s="2" t="s">
        <v>1040</v>
      </c>
      <c r="C1152" s="5" t="s">
        <v>2225</v>
      </c>
      <c r="D1152" s="2" t="s">
        <v>2226</v>
      </c>
    </row>
    <row r="1153" spans="1:4" ht="12.95" customHeight="1" x14ac:dyDescent="0.25">
      <c r="A1153" s="2" t="s">
        <v>237</v>
      </c>
      <c r="B1153" s="2" t="s">
        <v>1040</v>
      </c>
      <c r="C1153" s="5" t="s">
        <v>2227</v>
      </c>
      <c r="D1153" s="2" t="s">
        <v>2228</v>
      </c>
    </row>
    <row r="1154" spans="1:4" ht="12.95" customHeight="1" x14ac:dyDescent="0.25">
      <c r="A1154" s="2" t="s">
        <v>237</v>
      </c>
      <c r="B1154" s="2" t="s">
        <v>1040</v>
      </c>
      <c r="C1154" s="5" t="s">
        <v>2229</v>
      </c>
      <c r="D1154" s="2" t="s">
        <v>2230</v>
      </c>
    </row>
    <row r="1155" spans="1:4" ht="12.95" customHeight="1" x14ac:dyDescent="0.25">
      <c r="A1155" s="2" t="s">
        <v>237</v>
      </c>
      <c r="B1155" s="2" t="s">
        <v>1040</v>
      </c>
      <c r="C1155" s="5" t="s">
        <v>2231</v>
      </c>
      <c r="D1155" s="2" t="s">
        <v>2232</v>
      </c>
    </row>
    <row r="1156" spans="1:4" ht="12.95" customHeight="1" x14ac:dyDescent="0.25">
      <c r="A1156" s="2" t="s">
        <v>237</v>
      </c>
      <c r="B1156" s="2" t="s">
        <v>1040</v>
      </c>
      <c r="C1156" s="5" t="s">
        <v>2233</v>
      </c>
      <c r="D1156" s="2" t="s">
        <v>2234</v>
      </c>
    </row>
    <row r="1157" spans="1:4" ht="12.95" customHeight="1" x14ac:dyDescent="0.25">
      <c r="A1157" s="2" t="s">
        <v>237</v>
      </c>
      <c r="B1157" s="2" t="s">
        <v>1040</v>
      </c>
      <c r="C1157" s="5" t="s">
        <v>2235</v>
      </c>
      <c r="D1157" s="2" t="s">
        <v>2236</v>
      </c>
    </row>
    <row r="1158" spans="1:4" ht="12.95" customHeight="1" x14ac:dyDescent="0.25">
      <c r="A1158" s="2" t="s">
        <v>237</v>
      </c>
      <c r="B1158" s="2" t="s">
        <v>1040</v>
      </c>
      <c r="C1158" s="5" t="s">
        <v>2237</v>
      </c>
      <c r="D1158" s="2" t="s">
        <v>2238</v>
      </c>
    </row>
    <row r="1159" spans="1:4" ht="12.95" customHeight="1" x14ac:dyDescent="0.25">
      <c r="A1159" s="2" t="s">
        <v>237</v>
      </c>
      <c r="B1159" s="2" t="s">
        <v>1040</v>
      </c>
      <c r="C1159" s="5" t="s">
        <v>2239</v>
      </c>
      <c r="D1159" s="2" t="s">
        <v>2240</v>
      </c>
    </row>
    <row r="1160" spans="1:4" ht="12.95" customHeight="1" x14ac:dyDescent="0.25">
      <c r="A1160" s="2" t="s">
        <v>237</v>
      </c>
      <c r="B1160" s="2" t="s">
        <v>1040</v>
      </c>
      <c r="C1160" s="5" t="s">
        <v>2241</v>
      </c>
      <c r="D1160" s="2" t="s">
        <v>2242</v>
      </c>
    </row>
    <row r="1161" spans="1:4" ht="12.95" customHeight="1" x14ac:dyDescent="0.25">
      <c r="A1161" s="2" t="s">
        <v>237</v>
      </c>
      <c r="B1161" s="2" t="s">
        <v>1040</v>
      </c>
      <c r="C1161" s="5" t="s">
        <v>2243</v>
      </c>
      <c r="D1161" s="2" t="s">
        <v>2244</v>
      </c>
    </row>
    <row r="1162" spans="1:4" ht="12.95" customHeight="1" x14ac:dyDescent="0.25">
      <c r="A1162" s="2" t="s">
        <v>237</v>
      </c>
      <c r="B1162" s="2" t="s">
        <v>1040</v>
      </c>
      <c r="C1162" s="5" t="s">
        <v>2245</v>
      </c>
      <c r="D1162" s="2" t="s">
        <v>2246</v>
      </c>
    </row>
    <row r="1163" spans="1:4" ht="12.95" customHeight="1" x14ac:dyDescent="0.25">
      <c r="A1163" s="2" t="s">
        <v>237</v>
      </c>
      <c r="B1163" s="2" t="s">
        <v>1040</v>
      </c>
      <c r="C1163" s="5" t="s">
        <v>2247</v>
      </c>
      <c r="D1163" s="2" t="s">
        <v>2248</v>
      </c>
    </row>
    <row r="1164" spans="1:4" ht="12.95" customHeight="1" x14ac:dyDescent="0.25">
      <c r="A1164" s="2" t="s">
        <v>237</v>
      </c>
      <c r="B1164" s="2" t="s">
        <v>1040</v>
      </c>
      <c r="C1164" s="5" t="s">
        <v>2249</v>
      </c>
      <c r="D1164" s="2" t="s">
        <v>2250</v>
      </c>
    </row>
    <row r="1165" spans="1:4" ht="12.95" customHeight="1" x14ac:dyDescent="0.25">
      <c r="A1165" s="2" t="s">
        <v>237</v>
      </c>
      <c r="B1165" s="2" t="s">
        <v>1040</v>
      </c>
      <c r="C1165" s="5" t="s">
        <v>2251</v>
      </c>
      <c r="D1165" s="2" t="s">
        <v>2252</v>
      </c>
    </row>
    <row r="1166" spans="1:4" ht="12.95" customHeight="1" x14ac:dyDescent="0.25">
      <c r="A1166" s="2" t="s">
        <v>237</v>
      </c>
      <c r="B1166" s="2" t="s">
        <v>1040</v>
      </c>
      <c r="C1166" s="5" t="s">
        <v>2253</v>
      </c>
      <c r="D1166" s="2" t="s">
        <v>2254</v>
      </c>
    </row>
    <row r="1167" spans="1:4" ht="12.95" customHeight="1" x14ac:dyDescent="0.25">
      <c r="A1167" s="2" t="s">
        <v>237</v>
      </c>
      <c r="B1167" s="2" t="s">
        <v>1040</v>
      </c>
      <c r="C1167" s="5" t="s">
        <v>2255</v>
      </c>
      <c r="D1167" s="2" t="s">
        <v>2256</v>
      </c>
    </row>
    <row r="1168" spans="1:4" ht="12.95" customHeight="1" x14ac:dyDescent="0.25">
      <c r="A1168" s="2" t="s">
        <v>237</v>
      </c>
      <c r="B1168" s="2" t="s">
        <v>1040</v>
      </c>
      <c r="C1168" s="5" t="s">
        <v>2257</v>
      </c>
      <c r="D1168" s="2" t="s">
        <v>2258</v>
      </c>
    </row>
    <row r="1169" spans="1:4" ht="12.95" customHeight="1" x14ac:dyDescent="0.25">
      <c r="A1169" s="2" t="s">
        <v>237</v>
      </c>
      <c r="B1169" s="2" t="s">
        <v>1040</v>
      </c>
      <c r="C1169" s="5" t="s">
        <v>2259</v>
      </c>
      <c r="D1169" s="2" t="s">
        <v>2260</v>
      </c>
    </row>
    <row r="1170" spans="1:4" ht="12.95" customHeight="1" x14ac:dyDescent="0.25">
      <c r="A1170" s="2" t="s">
        <v>237</v>
      </c>
      <c r="B1170" s="2" t="s">
        <v>1040</v>
      </c>
      <c r="C1170" s="5" t="s">
        <v>2261</v>
      </c>
      <c r="D1170" s="2" t="s">
        <v>2262</v>
      </c>
    </row>
    <row r="1171" spans="1:4" ht="12.95" customHeight="1" x14ac:dyDescent="0.25">
      <c r="A1171" s="2" t="s">
        <v>237</v>
      </c>
      <c r="B1171" s="2" t="s">
        <v>1040</v>
      </c>
      <c r="C1171" s="5" t="s">
        <v>2263</v>
      </c>
      <c r="D1171" s="2" t="s">
        <v>2264</v>
      </c>
    </row>
    <row r="1172" spans="1:4" ht="12.95" customHeight="1" x14ac:dyDescent="0.25">
      <c r="A1172" s="2" t="s">
        <v>237</v>
      </c>
      <c r="B1172" s="2" t="s">
        <v>1040</v>
      </c>
      <c r="C1172" s="5" t="s">
        <v>2265</v>
      </c>
      <c r="D1172" s="2" t="s">
        <v>2266</v>
      </c>
    </row>
    <row r="1173" spans="1:4" ht="12.95" customHeight="1" x14ac:dyDescent="0.25">
      <c r="A1173" s="2" t="s">
        <v>237</v>
      </c>
      <c r="B1173" s="2" t="s">
        <v>1040</v>
      </c>
      <c r="C1173" s="5" t="s">
        <v>2267</v>
      </c>
      <c r="D1173" s="2" t="s">
        <v>2268</v>
      </c>
    </row>
    <row r="1174" spans="1:4" ht="12.95" customHeight="1" x14ac:dyDescent="0.25">
      <c r="A1174" s="2" t="s">
        <v>237</v>
      </c>
      <c r="B1174" s="2" t="s">
        <v>1040</v>
      </c>
      <c r="C1174" s="5" t="s">
        <v>2269</v>
      </c>
      <c r="D1174" s="2" t="s">
        <v>2270</v>
      </c>
    </row>
    <row r="1175" spans="1:4" ht="12.95" customHeight="1" x14ac:dyDescent="0.25">
      <c r="A1175" s="2" t="s">
        <v>237</v>
      </c>
      <c r="B1175" s="2" t="s">
        <v>1040</v>
      </c>
      <c r="C1175" s="5" t="s">
        <v>2271</v>
      </c>
      <c r="D1175" s="2" t="s">
        <v>2272</v>
      </c>
    </row>
    <row r="1176" spans="1:4" ht="12.95" customHeight="1" x14ac:dyDescent="0.25">
      <c r="A1176" s="2" t="s">
        <v>237</v>
      </c>
      <c r="B1176" s="2" t="s">
        <v>1040</v>
      </c>
      <c r="C1176" s="5" t="s">
        <v>2273</v>
      </c>
      <c r="D1176" s="2" t="s">
        <v>2274</v>
      </c>
    </row>
    <row r="1177" spans="1:4" ht="12.95" customHeight="1" x14ac:dyDescent="0.25">
      <c r="A1177" s="2" t="s">
        <v>237</v>
      </c>
      <c r="B1177" s="2" t="s">
        <v>1040</v>
      </c>
      <c r="C1177" s="5" t="s">
        <v>2275</v>
      </c>
      <c r="D1177" s="2" t="s">
        <v>2276</v>
      </c>
    </row>
    <row r="1178" spans="1:4" ht="12.95" customHeight="1" x14ac:dyDescent="0.25">
      <c r="A1178" s="2" t="s">
        <v>237</v>
      </c>
      <c r="B1178" s="2" t="s">
        <v>1040</v>
      </c>
      <c r="C1178" s="5" t="s">
        <v>2277</v>
      </c>
      <c r="D1178" s="2" t="s">
        <v>2278</v>
      </c>
    </row>
    <row r="1179" spans="1:4" ht="12.95" customHeight="1" x14ac:dyDescent="0.25">
      <c r="A1179" s="2" t="s">
        <v>237</v>
      </c>
      <c r="B1179" s="2" t="s">
        <v>1040</v>
      </c>
      <c r="C1179" s="5" t="s">
        <v>2279</v>
      </c>
      <c r="D1179" s="2" t="s">
        <v>2280</v>
      </c>
    </row>
    <row r="1180" spans="1:4" ht="12.95" customHeight="1" x14ac:dyDescent="0.25">
      <c r="A1180" s="2" t="s">
        <v>237</v>
      </c>
      <c r="B1180" s="2" t="s">
        <v>1040</v>
      </c>
      <c r="C1180" s="5" t="s">
        <v>2281</v>
      </c>
      <c r="D1180" s="2" t="s">
        <v>2282</v>
      </c>
    </row>
    <row r="1181" spans="1:4" ht="12.95" customHeight="1" x14ac:dyDescent="0.25">
      <c r="A1181" s="2" t="s">
        <v>237</v>
      </c>
      <c r="B1181" s="2" t="s">
        <v>1040</v>
      </c>
      <c r="C1181" s="5" t="s">
        <v>2283</v>
      </c>
      <c r="D1181" s="2" t="s">
        <v>2284</v>
      </c>
    </row>
    <row r="1182" spans="1:4" ht="12.95" customHeight="1" x14ac:dyDescent="0.25">
      <c r="A1182" s="2" t="s">
        <v>237</v>
      </c>
      <c r="B1182" s="2" t="s">
        <v>1040</v>
      </c>
      <c r="C1182" s="5" t="s">
        <v>2285</v>
      </c>
      <c r="D1182" s="2" t="s">
        <v>2286</v>
      </c>
    </row>
    <row r="1183" spans="1:4" ht="12.95" customHeight="1" x14ac:dyDescent="0.25">
      <c r="A1183" s="2" t="s">
        <v>237</v>
      </c>
      <c r="B1183" s="2" t="s">
        <v>1040</v>
      </c>
      <c r="C1183" s="5" t="s">
        <v>2287</v>
      </c>
      <c r="D1183" s="2" t="s">
        <v>2288</v>
      </c>
    </row>
    <row r="1184" spans="1:4" ht="12.95" customHeight="1" x14ac:dyDescent="0.25">
      <c r="A1184" s="2" t="s">
        <v>237</v>
      </c>
      <c r="B1184" s="2" t="s">
        <v>1040</v>
      </c>
      <c r="C1184" s="5" t="s">
        <v>2289</v>
      </c>
      <c r="D1184" s="2" t="s">
        <v>2290</v>
      </c>
    </row>
    <row r="1185" spans="1:4" ht="12.95" customHeight="1" x14ac:dyDescent="0.25">
      <c r="A1185" s="2" t="s">
        <v>237</v>
      </c>
      <c r="B1185" s="2" t="s">
        <v>1040</v>
      </c>
      <c r="C1185" s="5" t="s">
        <v>2291</v>
      </c>
      <c r="D1185" s="2" t="s">
        <v>2292</v>
      </c>
    </row>
    <row r="1186" spans="1:4" ht="12.95" customHeight="1" x14ac:dyDescent="0.25">
      <c r="A1186" s="2" t="s">
        <v>237</v>
      </c>
      <c r="B1186" s="2" t="s">
        <v>1040</v>
      </c>
      <c r="C1186" s="5" t="s">
        <v>2293</v>
      </c>
      <c r="D1186" s="2" t="s">
        <v>2294</v>
      </c>
    </row>
    <row r="1187" spans="1:4" ht="12.95" customHeight="1" x14ac:dyDescent="0.25">
      <c r="A1187" s="2" t="s">
        <v>237</v>
      </c>
      <c r="B1187" s="2" t="s">
        <v>1040</v>
      </c>
      <c r="C1187" s="5" t="s">
        <v>2295</v>
      </c>
      <c r="D1187" s="2" t="s">
        <v>2296</v>
      </c>
    </row>
    <row r="1188" spans="1:4" ht="12.95" customHeight="1" x14ac:dyDescent="0.25">
      <c r="A1188" s="2" t="s">
        <v>237</v>
      </c>
      <c r="B1188" s="2" t="s">
        <v>1040</v>
      </c>
      <c r="C1188" s="5" t="s">
        <v>2297</v>
      </c>
      <c r="D1188" s="2" t="s">
        <v>2298</v>
      </c>
    </row>
    <row r="1189" spans="1:4" ht="12.95" customHeight="1" x14ac:dyDescent="0.25">
      <c r="A1189" s="2" t="s">
        <v>237</v>
      </c>
      <c r="B1189" s="2" t="s">
        <v>1040</v>
      </c>
      <c r="C1189" s="5" t="s">
        <v>2299</v>
      </c>
      <c r="D1189" s="2" t="s">
        <v>2300</v>
      </c>
    </row>
    <row r="1190" spans="1:4" ht="12.95" customHeight="1" x14ac:dyDescent="0.25">
      <c r="A1190" s="2" t="s">
        <v>237</v>
      </c>
      <c r="B1190" s="2" t="s">
        <v>1040</v>
      </c>
      <c r="C1190" s="5" t="s">
        <v>2301</v>
      </c>
      <c r="D1190" s="2" t="s">
        <v>2302</v>
      </c>
    </row>
    <row r="1191" spans="1:4" ht="12.95" customHeight="1" x14ac:dyDescent="0.25">
      <c r="A1191" s="2" t="s">
        <v>237</v>
      </c>
      <c r="B1191" s="2" t="s">
        <v>1040</v>
      </c>
      <c r="C1191" s="5" t="s">
        <v>2303</v>
      </c>
      <c r="D1191" s="2" t="s">
        <v>2304</v>
      </c>
    </row>
    <row r="1192" spans="1:4" ht="12.95" customHeight="1" x14ac:dyDescent="0.25">
      <c r="A1192" s="2" t="s">
        <v>237</v>
      </c>
      <c r="B1192" s="2" t="s">
        <v>1040</v>
      </c>
      <c r="C1192" s="5" t="s">
        <v>2305</v>
      </c>
      <c r="D1192" s="2" t="s">
        <v>2306</v>
      </c>
    </row>
    <row r="1193" spans="1:4" ht="12.95" customHeight="1" x14ac:dyDescent="0.25">
      <c r="A1193" s="2" t="s">
        <v>237</v>
      </c>
      <c r="B1193" s="2" t="s">
        <v>1040</v>
      </c>
      <c r="C1193" s="5" t="s">
        <v>2307</v>
      </c>
      <c r="D1193" s="2" t="s">
        <v>2308</v>
      </c>
    </row>
    <row r="1194" spans="1:4" ht="12.95" customHeight="1" x14ac:dyDescent="0.25">
      <c r="A1194" s="2" t="s">
        <v>237</v>
      </c>
      <c r="B1194" s="2" t="s">
        <v>1040</v>
      </c>
      <c r="C1194" s="5" t="s">
        <v>2309</v>
      </c>
      <c r="D1194" s="2" t="s">
        <v>2310</v>
      </c>
    </row>
    <row r="1195" spans="1:4" ht="12.95" customHeight="1" x14ac:dyDescent="0.25">
      <c r="A1195" s="2" t="s">
        <v>237</v>
      </c>
      <c r="B1195" s="2" t="s">
        <v>1040</v>
      </c>
      <c r="C1195" s="5" t="s">
        <v>2311</v>
      </c>
      <c r="D1195" s="2" t="s">
        <v>2312</v>
      </c>
    </row>
    <row r="1196" spans="1:4" ht="12.95" customHeight="1" x14ac:dyDescent="0.25">
      <c r="A1196" s="2" t="s">
        <v>237</v>
      </c>
      <c r="B1196" s="2" t="s">
        <v>1040</v>
      </c>
      <c r="C1196" s="5" t="s">
        <v>2313</v>
      </c>
      <c r="D1196" s="2" t="s">
        <v>2314</v>
      </c>
    </row>
    <row r="1197" spans="1:4" ht="12.95" customHeight="1" x14ac:dyDescent="0.25">
      <c r="A1197" s="2" t="s">
        <v>237</v>
      </c>
      <c r="B1197" s="2" t="s">
        <v>1040</v>
      </c>
      <c r="C1197" s="5" t="s">
        <v>2315</v>
      </c>
      <c r="D1197" s="2" t="s">
        <v>2316</v>
      </c>
    </row>
    <row r="1198" spans="1:4" ht="12.95" customHeight="1" x14ac:dyDescent="0.25">
      <c r="A1198" s="2" t="s">
        <v>237</v>
      </c>
      <c r="B1198" s="2" t="s">
        <v>1040</v>
      </c>
      <c r="C1198" s="5" t="s">
        <v>2317</v>
      </c>
      <c r="D1198" s="2" t="s">
        <v>2318</v>
      </c>
    </row>
    <row r="1199" spans="1:4" ht="12.95" customHeight="1" x14ac:dyDescent="0.25">
      <c r="A1199" s="2" t="s">
        <v>237</v>
      </c>
      <c r="B1199" s="2" t="s">
        <v>1040</v>
      </c>
      <c r="C1199" s="5" t="s">
        <v>2319</v>
      </c>
      <c r="D1199" s="2" t="s">
        <v>2320</v>
      </c>
    </row>
    <row r="1200" spans="1:4" ht="12.95" customHeight="1" x14ac:dyDescent="0.25">
      <c r="A1200" s="2" t="s">
        <v>237</v>
      </c>
      <c r="B1200" s="2" t="s">
        <v>1040</v>
      </c>
      <c r="C1200" s="5" t="s">
        <v>2321</v>
      </c>
      <c r="D1200" s="2" t="s">
        <v>2322</v>
      </c>
    </row>
    <row r="1201" spans="1:4" ht="12.95" customHeight="1" x14ac:dyDescent="0.25">
      <c r="A1201" s="2" t="s">
        <v>237</v>
      </c>
      <c r="B1201" s="2" t="s">
        <v>1040</v>
      </c>
      <c r="C1201" s="5" t="s">
        <v>2323</v>
      </c>
      <c r="D1201" s="2" t="s">
        <v>2324</v>
      </c>
    </row>
    <row r="1202" spans="1:4" ht="12.95" customHeight="1" x14ac:dyDescent="0.25">
      <c r="A1202" s="2" t="s">
        <v>237</v>
      </c>
      <c r="B1202" s="2" t="s">
        <v>1040</v>
      </c>
      <c r="C1202" s="5" t="s">
        <v>2325</v>
      </c>
      <c r="D1202" s="2" t="s">
        <v>2326</v>
      </c>
    </row>
    <row r="1203" spans="1:4" ht="12.95" customHeight="1" x14ac:dyDescent="0.25">
      <c r="A1203" s="2" t="s">
        <v>237</v>
      </c>
      <c r="B1203" s="2" t="s">
        <v>1040</v>
      </c>
      <c r="C1203" s="5" t="s">
        <v>2327</v>
      </c>
      <c r="D1203" s="2" t="s">
        <v>2328</v>
      </c>
    </row>
    <row r="1204" spans="1:4" ht="12.95" customHeight="1" x14ac:dyDescent="0.25">
      <c r="A1204" s="2" t="s">
        <v>237</v>
      </c>
      <c r="B1204" s="2" t="s">
        <v>1040</v>
      </c>
      <c r="C1204" s="5" t="s">
        <v>2329</v>
      </c>
      <c r="D1204" s="2" t="s">
        <v>2330</v>
      </c>
    </row>
    <row r="1205" spans="1:4" ht="12.95" customHeight="1" x14ac:dyDescent="0.25">
      <c r="A1205" s="2" t="s">
        <v>237</v>
      </c>
      <c r="B1205" s="2" t="s">
        <v>1040</v>
      </c>
      <c r="C1205" s="5" t="s">
        <v>2331</v>
      </c>
      <c r="D1205" s="2" t="s">
        <v>2332</v>
      </c>
    </row>
    <row r="1206" spans="1:4" ht="12.95" customHeight="1" x14ac:dyDescent="0.25">
      <c r="A1206" s="2" t="s">
        <v>237</v>
      </c>
      <c r="B1206" s="2" t="s">
        <v>1040</v>
      </c>
      <c r="C1206" s="5" t="s">
        <v>2333</v>
      </c>
      <c r="D1206" s="2" t="s">
        <v>2334</v>
      </c>
    </row>
    <row r="1207" spans="1:4" ht="12.95" customHeight="1" x14ac:dyDescent="0.25">
      <c r="A1207" s="2" t="s">
        <v>237</v>
      </c>
      <c r="B1207" s="2" t="s">
        <v>1040</v>
      </c>
      <c r="C1207" s="5" t="s">
        <v>2335</v>
      </c>
      <c r="D1207" s="2" t="s">
        <v>2336</v>
      </c>
    </row>
    <row r="1208" spans="1:4" ht="12.95" customHeight="1" x14ac:dyDescent="0.25">
      <c r="A1208" s="2" t="s">
        <v>237</v>
      </c>
      <c r="B1208" s="2" t="s">
        <v>1040</v>
      </c>
      <c r="C1208" s="5" t="s">
        <v>2337</v>
      </c>
      <c r="D1208" s="2" t="s">
        <v>2338</v>
      </c>
    </row>
    <row r="1209" spans="1:4" ht="12.95" customHeight="1" x14ac:dyDescent="0.25">
      <c r="A1209" s="2" t="s">
        <v>237</v>
      </c>
      <c r="B1209" s="2" t="s">
        <v>1040</v>
      </c>
      <c r="C1209" s="5" t="s">
        <v>2339</v>
      </c>
      <c r="D1209" s="2" t="s">
        <v>2340</v>
      </c>
    </row>
    <row r="1210" spans="1:4" ht="12.95" customHeight="1" x14ac:dyDescent="0.25">
      <c r="A1210" s="2" t="s">
        <v>237</v>
      </c>
      <c r="B1210" s="2" t="s">
        <v>1040</v>
      </c>
      <c r="C1210" s="5" t="s">
        <v>2341</v>
      </c>
      <c r="D1210" s="2" t="s">
        <v>2342</v>
      </c>
    </row>
    <row r="1211" spans="1:4" ht="12.95" customHeight="1" x14ac:dyDescent="0.25">
      <c r="A1211" s="2" t="s">
        <v>237</v>
      </c>
      <c r="B1211" s="2" t="s">
        <v>1040</v>
      </c>
      <c r="C1211" s="5" t="s">
        <v>2343</v>
      </c>
      <c r="D1211" s="2" t="s">
        <v>2344</v>
      </c>
    </row>
    <row r="1212" spans="1:4" ht="12.95" customHeight="1" x14ac:dyDescent="0.25">
      <c r="A1212" s="2" t="s">
        <v>237</v>
      </c>
      <c r="B1212" s="2" t="s">
        <v>1040</v>
      </c>
      <c r="C1212" s="5" t="s">
        <v>2345</v>
      </c>
      <c r="D1212" s="2" t="s">
        <v>2346</v>
      </c>
    </row>
    <row r="1213" spans="1:4" ht="12.95" customHeight="1" x14ac:dyDescent="0.25">
      <c r="A1213" s="2" t="s">
        <v>237</v>
      </c>
      <c r="B1213" s="2" t="s">
        <v>1040</v>
      </c>
      <c r="C1213" s="5" t="s">
        <v>2347</v>
      </c>
      <c r="D1213" s="2" t="s">
        <v>2348</v>
      </c>
    </row>
    <row r="1214" spans="1:4" ht="12.95" customHeight="1" x14ac:dyDescent="0.25">
      <c r="A1214" s="2" t="s">
        <v>237</v>
      </c>
      <c r="B1214" s="2" t="s">
        <v>1040</v>
      </c>
      <c r="C1214" s="5" t="s">
        <v>2349</v>
      </c>
      <c r="D1214" s="2" t="s">
        <v>2350</v>
      </c>
    </row>
    <row r="1215" spans="1:4" ht="12.95" customHeight="1" x14ac:dyDescent="0.25">
      <c r="A1215" s="2" t="s">
        <v>237</v>
      </c>
      <c r="B1215" s="2" t="s">
        <v>1040</v>
      </c>
      <c r="C1215" s="5" t="s">
        <v>2351</v>
      </c>
      <c r="D1215" s="2" t="s">
        <v>2352</v>
      </c>
    </row>
    <row r="1216" spans="1:4" ht="12.95" customHeight="1" x14ac:dyDescent="0.25">
      <c r="A1216" s="2" t="s">
        <v>237</v>
      </c>
      <c r="B1216" s="2" t="s">
        <v>1040</v>
      </c>
      <c r="C1216" s="5" t="s">
        <v>2353</v>
      </c>
      <c r="D1216" s="2" t="s">
        <v>2354</v>
      </c>
    </row>
    <row r="1217" spans="1:4" ht="12.95" customHeight="1" x14ac:dyDescent="0.25">
      <c r="A1217" s="2" t="s">
        <v>237</v>
      </c>
      <c r="B1217" s="2" t="s">
        <v>1040</v>
      </c>
      <c r="C1217" s="5" t="s">
        <v>2355</v>
      </c>
      <c r="D1217" s="2" t="s">
        <v>2356</v>
      </c>
    </row>
    <row r="1218" spans="1:4" ht="12.95" customHeight="1" x14ac:dyDescent="0.25">
      <c r="A1218" s="2" t="s">
        <v>237</v>
      </c>
      <c r="B1218" s="2" t="s">
        <v>1040</v>
      </c>
      <c r="C1218" s="5" t="s">
        <v>2357</v>
      </c>
      <c r="D1218" s="2" t="s">
        <v>2358</v>
      </c>
    </row>
    <row r="1219" spans="1:4" ht="12.95" customHeight="1" x14ac:dyDescent="0.25">
      <c r="A1219" s="2" t="s">
        <v>237</v>
      </c>
      <c r="B1219" s="2" t="s">
        <v>1040</v>
      </c>
      <c r="C1219" s="5" t="s">
        <v>2359</v>
      </c>
      <c r="D1219" s="2" t="s">
        <v>2360</v>
      </c>
    </row>
    <row r="1220" spans="1:4" ht="12.95" customHeight="1" x14ac:dyDescent="0.25">
      <c r="A1220" s="2" t="s">
        <v>237</v>
      </c>
      <c r="B1220" s="2" t="s">
        <v>1040</v>
      </c>
      <c r="C1220" s="5" t="s">
        <v>2361</v>
      </c>
      <c r="D1220" s="2" t="s">
        <v>2362</v>
      </c>
    </row>
    <row r="1221" spans="1:4" ht="12.95" customHeight="1" x14ac:dyDescent="0.25">
      <c r="A1221" s="2" t="s">
        <v>237</v>
      </c>
      <c r="B1221" s="2" t="s">
        <v>1040</v>
      </c>
      <c r="C1221" s="5" t="s">
        <v>2363</v>
      </c>
      <c r="D1221" s="2" t="s">
        <v>2364</v>
      </c>
    </row>
    <row r="1222" spans="1:4" ht="12.95" customHeight="1" x14ac:dyDescent="0.25">
      <c r="A1222" s="2" t="s">
        <v>237</v>
      </c>
      <c r="B1222" s="2" t="s">
        <v>1040</v>
      </c>
      <c r="C1222" s="5" t="s">
        <v>2365</v>
      </c>
      <c r="D1222" s="2" t="s">
        <v>2366</v>
      </c>
    </row>
    <row r="1223" spans="1:4" ht="12.95" customHeight="1" x14ac:dyDescent="0.25">
      <c r="A1223" s="2" t="s">
        <v>237</v>
      </c>
      <c r="B1223" s="2" t="s">
        <v>1040</v>
      </c>
      <c r="C1223" s="5" t="s">
        <v>2367</v>
      </c>
      <c r="D1223" s="2" t="s">
        <v>2368</v>
      </c>
    </row>
    <row r="1224" spans="1:4" ht="12.95" customHeight="1" x14ac:dyDescent="0.25">
      <c r="A1224" s="2" t="s">
        <v>237</v>
      </c>
      <c r="B1224" s="2" t="s">
        <v>1040</v>
      </c>
      <c r="C1224" s="5" t="s">
        <v>2369</v>
      </c>
      <c r="D1224" s="2" t="s">
        <v>2370</v>
      </c>
    </row>
    <row r="1225" spans="1:4" ht="12.95" customHeight="1" x14ac:dyDescent="0.25">
      <c r="A1225" s="2" t="s">
        <v>237</v>
      </c>
      <c r="B1225" s="2" t="s">
        <v>1040</v>
      </c>
      <c r="C1225" s="5" t="s">
        <v>2371</v>
      </c>
      <c r="D1225" s="2" t="s">
        <v>2372</v>
      </c>
    </row>
    <row r="1226" spans="1:4" ht="12.95" customHeight="1" x14ac:dyDescent="0.25">
      <c r="A1226" s="2" t="s">
        <v>237</v>
      </c>
      <c r="B1226" s="2" t="s">
        <v>1040</v>
      </c>
      <c r="C1226" s="5" t="s">
        <v>2373</v>
      </c>
      <c r="D1226" s="2" t="s">
        <v>2374</v>
      </c>
    </row>
    <row r="1227" spans="1:4" ht="12.95" customHeight="1" x14ac:dyDescent="0.25">
      <c r="A1227" s="2" t="s">
        <v>237</v>
      </c>
      <c r="B1227" s="2" t="s">
        <v>1040</v>
      </c>
      <c r="C1227" s="5" t="s">
        <v>2375</v>
      </c>
      <c r="D1227" s="2" t="s">
        <v>2376</v>
      </c>
    </row>
    <row r="1228" spans="1:4" ht="12.95" customHeight="1" x14ac:dyDescent="0.25">
      <c r="A1228" s="2" t="s">
        <v>237</v>
      </c>
      <c r="B1228" s="2" t="s">
        <v>1040</v>
      </c>
      <c r="C1228" s="5" t="s">
        <v>2377</v>
      </c>
      <c r="D1228" s="2" t="s">
        <v>2378</v>
      </c>
    </row>
    <row r="1229" spans="1:4" ht="12.95" customHeight="1" x14ac:dyDescent="0.25">
      <c r="A1229" s="2" t="s">
        <v>237</v>
      </c>
      <c r="B1229" s="2" t="s">
        <v>1040</v>
      </c>
      <c r="C1229" s="5" t="s">
        <v>2379</v>
      </c>
      <c r="D1229" s="2" t="s">
        <v>2380</v>
      </c>
    </row>
    <row r="1230" spans="1:4" ht="12.95" customHeight="1" x14ac:dyDescent="0.25">
      <c r="A1230" s="2" t="s">
        <v>237</v>
      </c>
      <c r="B1230" s="2" t="s">
        <v>1040</v>
      </c>
      <c r="C1230" s="5" t="s">
        <v>2381</v>
      </c>
      <c r="D1230" s="2" t="s">
        <v>2382</v>
      </c>
    </row>
    <row r="1231" spans="1:4" ht="12.95" customHeight="1" x14ac:dyDescent="0.25">
      <c r="A1231" s="2" t="s">
        <v>237</v>
      </c>
      <c r="B1231" s="2" t="s">
        <v>1040</v>
      </c>
      <c r="C1231" s="5" t="s">
        <v>2383</v>
      </c>
      <c r="D1231" s="2" t="s">
        <v>2384</v>
      </c>
    </row>
    <row r="1232" spans="1:4" ht="12.95" customHeight="1" x14ac:dyDescent="0.25">
      <c r="A1232" s="2" t="s">
        <v>237</v>
      </c>
      <c r="B1232" s="2" t="s">
        <v>1040</v>
      </c>
      <c r="C1232" s="5" t="s">
        <v>2385</v>
      </c>
      <c r="D1232" s="2" t="s">
        <v>2386</v>
      </c>
    </row>
    <row r="1233" spans="1:4" ht="12.95" customHeight="1" x14ac:dyDescent="0.25">
      <c r="A1233" s="2" t="s">
        <v>237</v>
      </c>
      <c r="B1233" s="2" t="s">
        <v>1040</v>
      </c>
      <c r="C1233" s="5" t="s">
        <v>2387</v>
      </c>
      <c r="D1233" s="2" t="s">
        <v>2388</v>
      </c>
    </row>
    <row r="1234" spans="1:4" ht="12.95" customHeight="1" x14ac:dyDescent="0.25">
      <c r="A1234" s="2" t="s">
        <v>237</v>
      </c>
      <c r="B1234" s="2" t="s">
        <v>1040</v>
      </c>
      <c r="C1234" s="5" t="s">
        <v>2389</v>
      </c>
      <c r="D1234" s="2" t="s">
        <v>2390</v>
      </c>
    </row>
    <row r="1235" spans="1:4" ht="12.95" customHeight="1" x14ac:dyDescent="0.25">
      <c r="A1235" s="2" t="s">
        <v>237</v>
      </c>
      <c r="B1235" s="2" t="s">
        <v>1040</v>
      </c>
      <c r="C1235" s="5" t="s">
        <v>2391</v>
      </c>
      <c r="D1235" s="2" t="s">
        <v>2392</v>
      </c>
    </row>
    <row r="1236" spans="1:4" ht="12.95" customHeight="1" x14ac:dyDescent="0.25">
      <c r="A1236" s="2" t="s">
        <v>237</v>
      </c>
      <c r="B1236" s="2" t="s">
        <v>1040</v>
      </c>
      <c r="C1236" s="5" t="s">
        <v>2393</v>
      </c>
      <c r="D1236" s="2" t="s">
        <v>2394</v>
      </c>
    </row>
    <row r="1237" spans="1:4" ht="12.95" customHeight="1" x14ac:dyDescent="0.25">
      <c r="A1237" s="2" t="s">
        <v>237</v>
      </c>
      <c r="B1237" s="2" t="s">
        <v>1040</v>
      </c>
      <c r="C1237" s="5" t="s">
        <v>2395</v>
      </c>
      <c r="D1237" s="2" t="s">
        <v>2396</v>
      </c>
    </row>
    <row r="1238" spans="1:4" ht="12.95" customHeight="1" x14ac:dyDescent="0.25">
      <c r="A1238" s="2" t="s">
        <v>237</v>
      </c>
      <c r="B1238" s="2" t="s">
        <v>1040</v>
      </c>
      <c r="C1238" s="5" t="s">
        <v>2397</v>
      </c>
      <c r="D1238" s="2" t="s">
        <v>2398</v>
      </c>
    </row>
    <row r="1239" spans="1:4" ht="12.95" customHeight="1" x14ac:dyDescent="0.25">
      <c r="A1239" s="2" t="s">
        <v>237</v>
      </c>
      <c r="B1239" s="2" t="s">
        <v>1040</v>
      </c>
      <c r="C1239" s="5" t="s">
        <v>2399</v>
      </c>
      <c r="D1239" s="2" t="s">
        <v>2400</v>
      </c>
    </row>
    <row r="1240" spans="1:4" ht="12.95" customHeight="1" x14ac:dyDescent="0.25">
      <c r="A1240" s="2" t="s">
        <v>237</v>
      </c>
      <c r="B1240" s="2" t="s">
        <v>1040</v>
      </c>
      <c r="C1240" s="5" t="s">
        <v>2401</v>
      </c>
      <c r="D1240" s="2" t="s">
        <v>2402</v>
      </c>
    </row>
    <row r="1241" spans="1:4" ht="12.95" customHeight="1" x14ac:dyDescent="0.25">
      <c r="A1241" s="2" t="s">
        <v>237</v>
      </c>
      <c r="B1241" s="2" t="s">
        <v>1040</v>
      </c>
      <c r="C1241" s="5" t="s">
        <v>2403</v>
      </c>
      <c r="D1241" s="2" t="s">
        <v>2404</v>
      </c>
    </row>
    <row r="1242" spans="1:4" ht="12.95" customHeight="1" x14ac:dyDescent="0.25">
      <c r="A1242" s="2" t="s">
        <v>237</v>
      </c>
      <c r="B1242" s="2" t="s">
        <v>1040</v>
      </c>
      <c r="C1242" s="5" t="s">
        <v>2405</v>
      </c>
      <c r="D1242" s="2" t="s">
        <v>2406</v>
      </c>
    </row>
    <row r="1243" spans="1:4" ht="12.95" customHeight="1" x14ac:dyDescent="0.25">
      <c r="A1243" s="2" t="s">
        <v>237</v>
      </c>
      <c r="B1243" s="2" t="s">
        <v>1040</v>
      </c>
      <c r="C1243" s="5" t="s">
        <v>2407</v>
      </c>
      <c r="D1243" s="2" t="s">
        <v>2408</v>
      </c>
    </row>
    <row r="1244" spans="1:4" ht="12.95" customHeight="1" x14ac:dyDescent="0.25">
      <c r="A1244" s="2" t="s">
        <v>237</v>
      </c>
      <c r="B1244" s="2" t="s">
        <v>1040</v>
      </c>
      <c r="C1244" s="5" t="s">
        <v>2409</v>
      </c>
      <c r="D1244" s="2" t="s">
        <v>2410</v>
      </c>
    </row>
    <row r="1245" spans="1:4" ht="12.95" customHeight="1" x14ac:dyDescent="0.25">
      <c r="A1245" s="2" t="s">
        <v>237</v>
      </c>
      <c r="B1245" s="2" t="s">
        <v>1040</v>
      </c>
      <c r="C1245" s="5" t="s">
        <v>2411</v>
      </c>
      <c r="D1245" s="2" t="s">
        <v>2412</v>
      </c>
    </row>
    <row r="1246" spans="1:4" ht="12.95" customHeight="1" x14ac:dyDescent="0.25">
      <c r="A1246" s="2" t="s">
        <v>237</v>
      </c>
      <c r="B1246" s="2" t="s">
        <v>1040</v>
      </c>
      <c r="C1246" s="5" t="s">
        <v>2413</v>
      </c>
      <c r="D1246" s="2" t="s">
        <v>2414</v>
      </c>
    </row>
    <row r="1247" spans="1:4" ht="12.95" customHeight="1" x14ac:dyDescent="0.25">
      <c r="A1247" s="2" t="s">
        <v>237</v>
      </c>
      <c r="B1247" s="2" t="s">
        <v>1040</v>
      </c>
      <c r="C1247" s="5" t="s">
        <v>2415</v>
      </c>
      <c r="D1247" s="2" t="s">
        <v>2416</v>
      </c>
    </row>
    <row r="1248" spans="1:4" ht="12.95" customHeight="1" x14ac:dyDescent="0.25">
      <c r="A1248" s="2" t="s">
        <v>237</v>
      </c>
      <c r="B1248" s="2" t="s">
        <v>1040</v>
      </c>
      <c r="C1248" s="5" t="s">
        <v>2417</v>
      </c>
      <c r="D1248" s="2" t="s">
        <v>2418</v>
      </c>
    </row>
    <row r="1249" spans="1:4" ht="12.95" customHeight="1" x14ac:dyDescent="0.25">
      <c r="A1249" s="2" t="s">
        <v>237</v>
      </c>
      <c r="B1249" s="2" t="s">
        <v>1040</v>
      </c>
      <c r="C1249" s="5" t="s">
        <v>2419</v>
      </c>
      <c r="D1249" s="2" t="s">
        <v>2420</v>
      </c>
    </row>
    <row r="1250" spans="1:4" ht="12.95" customHeight="1" x14ac:dyDescent="0.25">
      <c r="A1250" s="2" t="s">
        <v>237</v>
      </c>
      <c r="B1250" s="2" t="s">
        <v>1040</v>
      </c>
      <c r="C1250" s="5" t="s">
        <v>2421</v>
      </c>
      <c r="D1250" s="2" t="s">
        <v>2422</v>
      </c>
    </row>
    <row r="1251" spans="1:4" ht="12.95" customHeight="1" x14ac:dyDescent="0.25">
      <c r="A1251" s="2" t="s">
        <v>237</v>
      </c>
      <c r="B1251" s="2" t="s">
        <v>1040</v>
      </c>
      <c r="C1251" s="5" t="s">
        <v>2423</v>
      </c>
      <c r="D1251" s="2" t="s">
        <v>2424</v>
      </c>
    </row>
    <row r="1252" spans="1:4" ht="12.95" customHeight="1" x14ac:dyDescent="0.25">
      <c r="A1252" s="2" t="s">
        <v>237</v>
      </c>
      <c r="B1252" s="2" t="s">
        <v>1040</v>
      </c>
      <c r="C1252" s="5" t="s">
        <v>2425</v>
      </c>
      <c r="D1252" s="2" t="s">
        <v>2426</v>
      </c>
    </row>
    <row r="1253" spans="1:4" ht="12.95" customHeight="1" x14ac:dyDescent="0.25">
      <c r="A1253" s="2" t="s">
        <v>237</v>
      </c>
      <c r="B1253" s="2" t="s">
        <v>1040</v>
      </c>
      <c r="C1253" s="5" t="s">
        <v>2427</v>
      </c>
      <c r="D1253" s="2" t="s">
        <v>2428</v>
      </c>
    </row>
    <row r="1254" spans="1:4" ht="12.95" customHeight="1" x14ac:dyDescent="0.25">
      <c r="A1254" s="2" t="s">
        <v>237</v>
      </c>
      <c r="B1254" s="2" t="s">
        <v>1040</v>
      </c>
      <c r="C1254" s="5" t="s">
        <v>2429</v>
      </c>
      <c r="D1254" s="2" t="s">
        <v>2430</v>
      </c>
    </row>
    <row r="1255" spans="1:4" ht="12.95" customHeight="1" x14ac:dyDescent="0.25">
      <c r="A1255" s="2" t="s">
        <v>237</v>
      </c>
      <c r="B1255" s="2" t="s">
        <v>1040</v>
      </c>
      <c r="C1255" s="5" t="s">
        <v>2431</v>
      </c>
      <c r="D1255" s="2" t="s">
        <v>2432</v>
      </c>
    </row>
    <row r="1256" spans="1:4" ht="12.95" customHeight="1" x14ac:dyDescent="0.25">
      <c r="A1256" s="2" t="s">
        <v>237</v>
      </c>
      <c r="B1256" s="2" t="s">
        <v>1040</v>
      </c>
      <c r="C1256" s="5" t="s">
        <v>2433</v>
      </c>
      <c r="D1256" s="2" t="s">
        <v>2434</v>
      </c>
    </row>
    <row r="1257" spans="1:4" ht="12.95" customHeight="1" x14ac:dyDescent="0.25">
      <c r="A1257" s="2" t="s">
        <v>237</v>
      </c>
      <c r="B1257" s="2" t="s">
        <v>1040</v>
      </c>
      <c r="C1257" s="5" t="s">
        <v>2435</v>
      </c>
      <c r="D1257" s="2" t="s">
        <v>2436</v>
      </c>
    </row>
    <row r="1258" spans="1:4" ht="12.95" customHeight="1" x14ac:dyDescent="0.25">
      <c r="A1258" s="2" t="s">
        <v>237</v>
      </c>
      <c r="B1258" s="2" t="s">
        <v>1040</v>
      </c>
      <c r="C1258" s="5" t="s">
        <v>2437</v>
      </c>
      <c r="D1258" s="2" t="s">
        <v>2438</v>
      </c>
    </row>
    <row r="1259" spans="1:4" ht="12.95" customHeight="1" x14ac:dyDescent="0.25">
      <c r="A1259" s="2" t="s">
        <v>237</v>
      </c>
      <c r="B1259" s="2" t="s">
        <v>1040</v>
      </c>
      <c r="C1259" s="5" t="s">
        <v>2439</v>
      </c>
      <c r="D1259" s="2" t="s">
        <v>2440</v>
      </c>
    </row>
    <row r="1260" spans="1:4" ht="12.95" customHeight="1" x14ac:dyDescent="0.25">
      <c r="A1260" s="2" t="s">
        <v>237</v>
      </c>
      <c r="B1260" s="2" t="s">
        <v>1040</v>
      </c>
      <c r="C1260" s="5" t="s">
        <v>2441</v>
      </c>
      <c r="D1260" s="2" t="s">
        <v>2442</v>
      </c>
    </row>
    <row r="1261" spans="1:4" ht="12.95" customHeight="1" x14ac:dyDescent="0.25">
      <c r="A1261" s="2" t="s">
        <v>237</v>
      </c>
      <c r="B1261" s="2" t="s">
        <v>1040</v>
      </c>
      <c r="C1261" s="5" t="s">
        <v>2443</v>
      </c>
      <c r="D1261" s="2" t="s">
        <v>2444</v>
      </c>
    </row>
    <row r="1262" spans="1:4" ht="12.95" customHeight="1" x14ac:dyDescent="0.25">
      <c r="A1262" s="2" t="s">
        <v>237</v>
      </c>
      <c r="B1262" s="2" t="s">
        <v>1040</v>
      </c>
      <c r="C1262" s="5" t="s">
        <v>2445</v>
      </c>
      <c r="D1262" s="2" t="s">
        <v>2446</v>
      </c>
    </row>
    <row r="1263" spans="1:4" ht="12.95" customHeight="1" x14ac:dyDescent="0.25">
      <c r="A1263" s="2" t="s">
        <v>237</v>
      </c>
      <c r="B1263" s="2" t="s">
        <v>1040</v>
      </c>
      <c r="C1263" s="5" t="s">
        <v>2447</v>
      </c>
      <c r="D1263" s="2" t="s">
        <v>2448</v>
      </c>
    </row>
    <row r="1264" spans="1:4" ht="12.95" customHeight="1" x14ac:dyDescent="0.25">
      <c r="A1264" s="2" t="s">
        <v>237</v>
      </c>
      <c r="B1264" s="2" t="s">
        <v>1040</v>
      </c>
      <c r="C1264" s="5" t="s">
        <v>2449</v>
      </c>
      <c r="D1264" s="2" t="s">
        <v>2450</v>
      </c>
    </row>
    <row r="1265" spans="1:4" ht="12.95" customHeight="1" x14ac:dyDescent="0.25">
      <c r="A1265" s="2" t="s">
        <v>237</v>
      </c>
      <c r="B1265" s="2" t="s">
        <v>1040</v>
      </c>
      <c r="C1265" s="5" t="s">
        <v>2451</v>
      </c>
      <c r="D1265" s="2" t="s">
        <v>2452</v>
      </c>
    </row>
    <row r="1266" spans="1:4" ht="12.95" customHeight="1" x14ac:dyDescent="0.25">
      <c r="A1266" s="2" t="s">
        <v>237</v>
      </c>
      <c r="B1266" s="2" t="s">
        <v>1040</v>
      </c>
      <c r="C1266" s="5" t="s">
        <v>2453</v>
      </c>
      <c r="D1266" s="2" t="s">
        <v>2454</v>
      </c>
    </row>
    <row r="1267" spans="1:4" ht="12.95" customHeight="1" x14ac:dyDescent="0.25">
      <c r="A1267" s="2" t="s">
        <v>237</v>
      </c>
      <c r="B1267" s="2" t="s">
        <v>1040</v>
      </c>
      <c r="C1267" s="5" t="s">
        <v>2455</v>
      </c>
      <c r="D1267" s="2" t="s">
        <v>2456</v>
      </c>
    </row>
    <row r="1268" spans="1:4" ht="12.95" customHeight="1" x14ac:dyDescent="0.25">
      <c r="A1268" s="2" t="s">
        <v>237</v>
      </c>
      <c r="B1268" s="2" t="s">
        <v>1040</v>
      </c>
      <c r="C1268" s="5" t="s">
        <v>2457</v>
      </c>
      <c r="D1268" s="2" t="s">
        <v>2458</v>
      </c>
    </row>
    <row r="1269" spans="1:4" ht="12.95" customHeight="1" x14ac:dyDescent="0.25">
      <c r="A1269" s="2" t="s">
        <v>237</v>
      </c>
      <c r="B1269" s="2" t="s">
        <v>1040</v>
      </c>
      <c r="C1269" s="5" t="s">
        <v>2459</v>
      </c>
      <c r="D1269" s="2" t="s">
        <v>2460</v>
      </c>
    </row>
    <row r="1270" spans="1:4" ht="12.95" customHeight="1" x14ac:dyDescent="0.25">
      <c r="A1270" s="2" t="s">
        <v>237</v>
      </c>
      <c r="B1270" s="2" t="s">
        <v>1040</v>
      </c>
      <c r="C1270" s="5" t="s">
        <v>2461</v>
      </c>
      <c r="D1270" s="2" t="s">
        <v>2462</v>
      </c>
    </row>
    <row r="1271" spans="1:4" ht="12.95" customHeight="1" x14ac:dyDescent="0.25">
      <c r="A1271" s="2" t="s">
        <v>237</v>
      </c>
      <c r="B1271" s="2" t="s">
        <v>1040</v>
      </c>
      <c r="C1271" s="5" t="s">
        <v>2463</v>
      </c>
      <c r="D1271" s="2" t="s">
        <v>2464</v>
      </c>
    </row>
    <row r="1272" spans="1:4" ht="12.95" customHeight="1" x14ac:dyDescent="0.25">
      <c r="A1272" s="2" t="s">
        <v>237</v>
      </c>
      <c r="B1272" s="2" t="s">
        <v>1040</v>
      </c>
      <c r="C1272" s="5" t="s">
        <v>2465</v>
      </c>
      <c r="D1272" s="2" t="s">
        <v>2466</v>
      </c>
    </row>
    <row r="1273" spans="1:4" ht="12.95" customHeight="1" x14ac:dyDescent="0.25">
      <c r="A1273" s="2" t="s">
        <v>237</v>
      </c>
      <c r="B1273" s="2" t="s">
        <v>1040</v>
      </c>
      <c r="C1273" s="5" t="s">
        <v>2467</v>
      </c>
      <c r="D1273" s="2" t="s">
        <v>2468</v>
      </c>
    </row>
    <row r="1274" spans="1:4" ht="12.95" customHeight="1" x14ac:dyDescent="0.25">
      <c r="A1274" s="2" t="s">
        <v>237</v>
      </c>
      <c r="B1274" s="2" t="s">
        <v>1040</v>
      </c>
      <c r="C1274" s="5" t="s">
        <v>2469</v>
      </c>
      <c r="D1274" s="2" t="s">
        <v>2470</v>
      </c>
    </row>
    <row r="1275" spans="1:4" ht="12.95" customHeight="1" x14ac:dyDescent="0.25">
      <c r="A1275" s="2" t="s">
        <v>237</v>
      </c>
      <c r="B1275" s="2" t="s">
        <v>1040</v>
      </c>
      <c r="C1275" s="5" t="s">
        <v>2471</v>
      </c>
      <c r="D1275" s="2" t="s">
        <v>2472</v>
      </c>
    </row>
    <row r="1276" spans="1:4" ht="12.95" customHeight="1" x14ac:dyDescent="0.25">
      <c r="A1276" s="2" t="s">
        <v>237</v>
      </c>
      <c r="B1276" s="2" t="s">
        <v>1040</v>
      </c>
      <c r="C1276" s="5" t="s">
        <v>2473</v>
      </c>
      <c r="D1276" s="2" t="s">
        <v>2474</v>
      </c>
    </row>
    <row r="1277" spans="1:4" ht="12.95" customHeight="1" x14ac:dyDescent="0.25">
      <c r="A1277" s="2" t="s">
        <v>237</v>
      </c>
      <c r="B1277" s="2" t="s">
        <v>1040</v>
      </c>
      <c r="C1277" s="5" t="s">
        <v>2475</v>
      </c>
      <c r="D1277" s="2" t="s">
        <v>2476</v>
      </c>
    </row>
    <row r="1278" spans="1:4" ht="12.95" customHeight="1" x14ac:dyDescent="0.25">
      <c r="A1278" s="2" t="s">
        <v>237</v>
      </c>
      <c r="B1278" s="2" t="s">
        <v>1040</v>
      </c>
      <c r="C1278" s="5" t="s">
        <v>2477</v>
      </c>
      <c r="D1278" s="2" t="s">
        <v>2478</v>
      </c>
    </row>
    <row r="1279" spans="1:4" ht="12.95" customHeight="1" x14ac:dyDescent="0.25">
      <c r="A1279" s="2" t="s">
        <v>237</v>
      </c>
      <c r="B1279" s="2" t="s">
        <v>1040</v>
      </c>
      <c r="C1279" s="5" t="s">
        <v>2479</v>
      </c>
      <c r="D1279" s="2" t="s">
        <v>2480</v>
      </c>
    </row>
    <row r="1280" spans="1:4" ht="12.95" customHeight="1" x14ac:dyDescent="0.25">
      <c r="A1280" s="2" t="s">
        <v>237</v>
      </c>
      <c r="B1280" s="2" t="s">
        <v>1040</v>
      </c>
      <c r="C1280" s="5" t="s">
        <v>2481</v>
      </c>
      <c r="D1280" s="2" t="s">
        <v>2482</v>
      </c>
    </row>
    <row r="1281" spans="1:4" ht="12.95" customHeight="1" x14ac:dyDescent="0.25">
      <c r="A1281" s="2" t="s">
        <v>237</v>
      </c>
      <c r="B1281" s="2" t="s">
        <v>1040</v>
      </c>
      <c r="C1281" s="5" t="s">
        <v>2483</v>
      </c>
      <c r="D1281" s="2" t="s">
        <v>2484</v>
      </c>
    </row>
    <row r="1282" spans="1:4" ht="12.95" customHeight="1" x14ac:dyDescent="0.25">
      <c r="A1282" s="2" t="s">
        <v>237</v>
      </c>
      <c r="B1282" s="2" t="s">
        <v>1040</v>
      </c>
      <c r="C1282" s="5" t="s">
        <v>2485</v>
      </c>
      <c r="D1282" s="2" t="s">
        <v>2486</v>
      </c>
    </row>
    <row r="1283" spans="1:4" ht="12.95" customHeight="1" x14ac:dyDescent="0.25">
      <c r="A1283" s="2" t="s">
        <v>237</v>
      </c>
      <c r="B1283" s="2" t="s">
        <v>1040</v>
      </c>
      <c r="C1283" s="5" t="s">
        <v>2487</v>
      </c>
      <c r="D1283" s="2" t="s">
        <v>2488</v>
      </c>
    </row>
    <row r="1284" spans="1:4" ht="12.95" customHeight="1" x14ac:dyDescent="0.25">
      <c r="A1284" s="2" t="s">
        <v>237</v>
      </c>
      <c r="B1284" s="2" t="s">
        <v>1040</v>
      </c>
      <c r="C1284" s="5" t="s">
        <v>2489</v>
      </c>
      <c r="D1284" s="2" t="s">
        <v>2490</v>
      </c>
    </row>
    <row r="1285" spans="1:4" ht="12.95" customHeight="1" x14ac:dyDescent="0.25">
      <c r="A1285" s="2" t="s">
        <v>237</v>
      </c>
      <c r="B1285" s="2" t="s">
        <v>1040</v>
      </c>
      <c r="C1285" s="5" t="s">
        <v>2491</v>
      </c>
      <c r="D1285" s="2" t="s">
        <v>2492</v>
      </c>
    </row>
    <row r="1286" spans="1:4" ht="12.95" customHeight="1" x14ac:dyDescent="0.25">
      <c r="A1286" s="2" t="s">
        <v>237</v>
      </c>
      <c r="B1286" s="2" t="s">
        <v>1040</v>
      </c>
      <c r="C1286" s="5" t="s">
        <v>2493</v>
      </c>
      <c r="D1286" s="2" t="s">
        <v>2494</v>
      </c>
    </row>
    <row r="1287" spans="1:4" ht="12.95" customHeight="1" x14ac:dyDescent="0.25">
      <c r="A1287" s="2" t="s">
        <v>237</v>
      </c>
      <c r="B1287" s="2" t="s">
        <v>1040</v>
      </c>
      <c r="C1287" s="5" t="s">
        <v>2495</v>
      </c>
      <c r="D1287" s="2" t="s">
        <v>2496</v>
      </c>
    </row>
    <row r="1288" spans="1:4" ht="12.95" customHeight="1" x14ac:dyDescent="0.25">
      <c r="A1288" s="2" t="s">
        <v>237</v>
      </c>
      <c r="B1288" s="2" t="s">
        <v>1040</v>
      </c>
      <c r="C1288" s="5" t="s">
        <v>2497</v>
      </c>
      <c r="D1288" s="2" t="s">
        <v>2498</v>
      </c>
    </row>
    <row r="1289" spans="1:4" ht="12.95" customHeight="1" x14ac:dyDescent="0.25">
      <c r="A1289" s="2" t="s">
        <v>237</v>
      </c>
      <c r="B1289" s="2" t="s">
        <v>1040</v>
      </c>
      <c r="C1289" s="5" t="s">
        <v>2499</v>
      </c>
      <c r="D1289" s="2" t="s">
        <v>2500</v>
      </c>
    </row>
    <row r="1290" spans="1:4" ht="12.95" customHeight="1" x14ac:dyDescent="0.25">
      <c r="A1290" s="2" t="s">
        <v>237</v>
      </c>
      <c r="B1290" s="2" t="s">
        <v>1040</v>
      </c>
      <c r="C1290" s="5" t="s">
        <v>2501</v>
      </c>
      <c r="D1290" s="2" t="s">
        <v>2502</v>
      </c>
    </row>
    <row r="1291" spans="1:4" ht="12.95" customHeight="1" x14ac:dyDescent="0.25">
      <c r="A1291" s="2" t="s">
        <v>237</v>
      </c>
      <c r="B1291" s="2" t="s">
        <v>1040</v>
      </c>
      <c r="C1291" s="5" t="s">
        <v>2503</v>
      </c>
      <c r="D1291" s="2" t="s">
        <v>2504</v>
      </c>
    </row>
    <row r="1292" spans="1:4" ht="12.95" customHeight="1" x14ac:dyDescent="0.25">
      <c r="A1292" s="2" t="s">
        <v>237</v>
      </c>
      <c r="B1292" s="2" t="s">
        <v>1040</v>
      </c>
      <c r="C1292" s="5" t="s">
        <v>2505</v>
      </c>
      <c r="D1292" s="2" t="s">
        <v>2506</v>
      </c>
    </row>
    <row r="1293" spans="1:4" ht="12.95" customHeight="1" x14ac:dyDescent="0.25">
      <c r="A1293" s="2" t="s">
        <v>237</v>
      </c>
      <c r="B1293" s="2" t="s">
        <v>1040</v>
      </c>
      <c r="C1293" s="5" t="s">
        <v>2507</v>
      </c>
      <c r="D1293" s="2" t="s">
        <v>2508</v>
      </c>
    </row>
    <row r="1294" spans="1:4" ht="12.95" customHeight="1" x14ac:dyDescent="0.25">
      <c r="A1294" s="2" t="s">
        <v>237</v>
      </c>
      <c r="B1294" s="2" t="s">
        <v>1040</v>
      </c>
      <c r="C1294" s="5" t="s">
        <v>2509</v>
      </c>
      <c r="D1294" s="2" t="s">
        <v>2510</v>
      </c>
    </row>
    <row r="1295" spans="1:4" ht="12.95" customHeight="1" x14ac:dyDescent="0.25">
      <c r="A1295" s="2" t="s">
        <v>237</v>
      </c>
      <c r="B1295" s="2" t="s">
        <v>1040</v>
      </c>
      <c r="C1295" s="5" t="s">
        <v>2511</v>
      </c>
      <c r="D1295" s="2" t="s">
        <v>2512</v>
      </c>
    </row>
    <row r="1296" spans="1:4" ht="12.95" customHeight="1" x14ac:dyDescent="0.25">
      <c r="A1296" s="2" t="s">
        <v>237</v>
      </c>
      <c r="B1296" s="2" t="s">
        <v>1040</v>
      </c>
      <c r="C1296" s="5" t="s">
        <v>2513</v>
      </c>
      <c r="D1296" s="2" t="s">
        <v>2514</v>
      </c>
    </row>
    <row r="1297" spans="1:4" ht="12.95" customHeight="1" x14ac:dyDescent="0.25">
      <c r="A1297" s="2" t="s">
        <v>237</v>
      </c>
      <c r="B1297" s="2" t="s">
        <v>1040</v>
      </c>
      <c r="C1297" s="5" t="s">
        <v>2515</v>
      </c>
      <c r="D1297" s="2" t="s">
        <v>2516</v>
      </c>
    </row>
    <row r="1298" spans="1:4" ht="12.95" customHeight="1" x14ac:dyDescent="0.25">
      <c r="A1298" s="2" t="s">
        <v>237</v>
      </c>
      <c r="B1298" s="2" t="s">
        <v>1040</v>
      </c>
      <c r="C1298" s="5" t="s">
        <v>2517</v>
      </c>
      <c r="D1298" s="2" t="s">
        <v>2518</v>
      </c>
    </row>
    <row r="1299" spans="1:4" ht="12.95" customHeight="1" x14ac:dyDescent="0.25">
      <c r="A1299" s="2" t="s">
        <v>237</v>
      </c>
      <c r="B1299" s="2" t="s">
        <v>1040</v>
      </c>
      <c r="C1299" s="5" t="s">
        <v>2519</v>
      </c>
      <c r="D1299" s="2" t="s">
        <v>2520</v>
      </c>
    </row>
    <row r="1300" spans="1:4" ht="12.95" customHeight="1" x14ac:dyDescent="0.25">
      <c r="A1300" s="2" t="s">
        <v>237</v>
      </c>
      <c r="B1300" s="2" t="s">
        <v>1040</v>
      </c>
      <c r="C1300" s="5" t="s">
        <v>2521</v>
      </c>
      <c r="D1300" s="2" t="s">
        <v>2522</v>
      </c>
    </row>
    <row r="1301" spans="1:4" ht="12.95" customHeight="1" x14ac:dyDescent="0.25">
      <c r="A1301" s="2" t="s">
        <v>237</v>
      </c>
      <c r="B1301" s="2" t="s">
        <v>1040</v>
      </c>
      <c r="C1301" s="5" t="s">
        <v>2523</v>
      </c>
      <c r="D1301" s="2" t="s">
        <v>2524</v>
      </c>
    </row>
    <row r="1302" spans="1:4" ht="12.95" customHeight="1" x14ac:dyDescent="0.25">
      <c r="A1302" s="2" t="s">
        <v>237</v>
      </c>
      <c r="B1302" s="2" t="s">
        <v>1040</v>
      </c>
      <c r="C1302" s="5" t="s">
        <v>2525</v>
      </c>
      <c r="D1302" s="2" t="s">
        <v>2526</v>
      </c>
    </row>
    <row r="1303" spans="1:4" ht="12.95" customHeight="1" x14ac:dyDescent="0.25">
      <c r="A1303" s="2" t="s">
        <v>237</v>
      </c>
      <c r="B1303" s="2" t="s">
        <v>1040</v>
      </c>
      <c r="C1303" s="5" t="s">
        <v>2527</v>
      </c>
      <c r="D1303" s="2" t="s">
        <v>2528</v>
      </c>
    </row>
    <row r="1304" spans="1:4" ht="12.95" customHeight="1" x14ac:dyDescent="0.25">
      <c r="A1304" s="2" t="s">
        <v>237</v>
      </c>
      <c r="B1304" s="2" t="s">
        <v>1040</v>
      </c>
      <c r="C1304" s="5" t="s">
        <v>2529</v>
      </c>
      <c r="D1304" s="2" t="s">
        <v>2530</v>
      </c>
    </row>
    <row r="1305" spans="1:4" ht="12.95" customHeight="1" x14ac:dyDescent="0.25">
      <c r="A1305" s="2" t="s">
        <v>237</v>
      </c>
      <c r="B1305" s="2" t="s">
        <v>1040</v>
      </c>
      <c r="C1305" s="5" t="s">
        <v>2531</v>
      </c>
      <c r="D1305" s="2" t="s">
        <v>2532</v>
      </c>
    </row>
    <row r="1306" spans="1:4" ht="12.95" customHeight="1" x14ac:dyDescent="0.25">
      <c r="A1306" s="2" t="s">
        <v>237</v>
      </c>
      <c r="B1306" s="2" t="s">
        <v>1040</v>
      </c>
      <c r="C1306" s="5" t="s">
        <v>2533</v>
      </c>
      <c r="D1306" s="2" t="s">
        <v>2534</v>
      </c>
    </row>
    <row r="1307" spans="1:4" ht="12.95" customHeight="1" x14ac:dyDescent="0.25">
      <c r="A1307" s="2" t="s">
        <v>237</v>
      </c>
      <c r="B1307" s="2" t="s">
        <v>1040</v>
      </c>
      <c r="C1307" s="5" t="s">
        <v>2535</v>
      </c>
      <c r="D1307" s="2" t="s">
        <v>2536</v>
      </c>
    </row>
    <row r="1308" spans="1:4" ht="12.95" customHeight="1" x14ac:dyDescent="0.25">
      <c r="A1308" s="2" t="s">
        <v>237</v>
      </c>
      <c r="B1308" s="2" t="s">
        <v>1040</v>
      </c>
      <c r="C1308" s="5" t="s">
        <v>2537</v>
      </c>
      <c r="D1308" s="2" t="s">
        <v>2538</v>
      </c>
    </row>
    <row r="1309" spans="1:4" ht="12.95" customHeight="1" x14ac:dyDescent="0.25">
      <c r="A1309" s="2" t="s">
        <v>237</v>
      </c>
      <c r="B1309" s="2" t="s">
        <v>1040</v>
      </c>
      <c r="C1309" s="5" t="s">
        <v>2539</v>
      </c>
      <c r="D1309" s="2" t="s">
        <v>2540</v>
      </c>
    </row>
    <row r="1310" spans="1:4" ht="12.95" customHeight="1" x14ac:dyDescent="0.25">
      <c r="A1310" s="2" t="s">
        <v>237</v>
      </c>
      <c r="B1310" s="2" t="s">
        <v>1040</v>
      </c>
      <c r="C1310" s="5" t="s">
        <v>2541</v>
      </c>
      <c r="D1310" s="2" t="s">
        <v>2542</v>
      </c>
    </row>
    <row r="1311" spans="1:4" ht="12.95" customHeight="1" x14ac:dyDescent="0.25">
      <c r="A1311" s="2" t="s">
        <v>237</v>
      </c>
      <c r="B1311" s="2" t="s">
        <v>1040</v>
      </c>
      <c r="C1311" s="5" t="s">
        <v>2543</v>
      </c>
      <c r="D1311" s="2" t="s">
        <v>2544</v>
      </c>
    </row>
    <row r="1312" spans="1:4" ht="12.95" customHeight="1" x14ac:dyDescent="0.25">
      <c r="A1312" s="2" t="s">
        <v>237</v>
      </c>
      <c r="B1312" s="2" t="s">
        <v>1040</v>
      </c>
      <c r="C1312" s="5" t="s">
        <v>2545</v>
      </c>
      <c r="D1312" s="2" t="s">
        <v>2546</v>
      </c>
    </row>
    <row r="1313" spans="1:4" ht="12.95" customHeight="1" x14ac:dyDescent="0.25">
      <c r="A1313" s="2" t="s">
        <v>237</v>
      </c>
      <c r="B1313" s="2" t="s">
        <v>1040</v>
      </c>
      <c r="C1313" s="5" t="s">
        <v>2547</v>
      </c>
      <c r="D1313" s="2" t="s">
        <v>2548</v>
      </c>
    </row>
    <row r="1314" spans="1:4" ht="12.95" customHeight="1" x14ac:dyDescent="0.25">
      <c r="A1314" s="2" t="s">
        <v>237</v>
      </c>
      <c r="B1314" s="2" t="s">
        <v>1040</v>
      </c>
      <c r="C1314" s="5" t="s">
        <v>2549</v>
      </c>
      <c r="D1314" s="2" t="s">
        <v>2550</v>
      </c>
    </row>
    <row r="1315" spans="1:4" ht="12.95" customHeight="1" x14ac:dyDescent="0.25">
      <c r="A1315" s="2" t="s">
        <v>237</v>
      </c>
      <c r="B1315" s="2" t="s">
        <v>1040</v>
      </c>
      <c r="C1315" s="5" t="s">
        <v>2551</v>
      </c>
      <c r="D1315" s="2" t="s">
        <v>2552</v>
      </c>
    </row>
    <row r="1316" spans="1:4" ht="12.95" customHeight="1" x14ac:dyDescent="0.25">
      <c r="A1316" s="2" t="s">
        <v>237</v>
      </c>
      <c r="B1316" s="2" t="s">
        <v>1040</v>
      </c>
      <c r="C1316" s="5" t="s">
        <v>2553</v>
      </c>
      <c r="D1316" s="2" t="s">
        <v>2554</v>
      </c>
    </row>
    <row r="1317" spans="1:4" ht="12.95" customHeight="1" x14ac:dyDescent="0.25">
      <c r="A1317" s="2" t="s">
        <v>237</v>
      </c>
      <c r="B1317" s="2" t="s">
        <v>1040</v>
      </c>
      <c r="C1317" s="5" t="s">
        <v>2555</v>
      </c>
      <c r="D1317" s="2" t="s">
        <v>2556</v>
      </c>
    </row>
    <row r="1318" spans="1:4" ht="12.95" customHeight="1" x14ac:dyDescent="0.25">
      <c r="A1318" s="2" t="s">
        <v>237</v>
      </c>
      <c r="B1318" s="2" t="s">
        <v>1040</v>
      </c>
      <c r="C1318" s="5" t="s">
        <v>2557</v>
      </c>
      <c r="D1318" s="2" t="s">
        <v>2558</v>
      </c>
    </row>
    <row r="1319" spans="1:4" ht="12.95" customHeight="1" x14ac:dyDescent="0.25">
      <c r="A1319" s="2" t="s">
        <v>237</v>
      </c>
      <c r="B1319" s="2" t="s">
        <v>1040</v>
      </c>
      <c r="C1319" s="5" t="s">
        <v>2559</v>
      </c>
      <c r="D1319" s="2" t="s">
        <v>2560</v>
      </c>
    </row>
    <row r="1320" spans="1:4" ht="12.95" customHeight="1" x14ac:dyDescent="0.25">
      <c r="A1320" s="2" t="s">
        <v>237</v>
      </c>
      <c r="B1320" s="2" t="s">
        <v>1040</v>
      </c>
      <c r="C1320" s="5" t="s">
        <v>2561</v>
      </c>
      <c r="D1320" s="2" t="s">
        <v>2562</v>
      </c>
    </row>
    <row r="1321" spans="1:4" ht="12.95" customHeight="1" x14ac:dyDescent="0.25">
      <c r="A1321" s="2" t="s">
        <v>237</v>
      </c>
      <c r="B1321" s="2" t="s">
        <v>1040</v>
      </c>
      <c r="C1321" s="5" t="s">
        <v>2563</v>
      </c>
      <c r="D1321" s="2" t="s">
        <v>2564</v>
      </c>
    </row>
    <row r="1322" spans="1:4" ht="12.95" customHeight="1" x14ac:dyDescent="0.25">
      <c r="A1322" s="2" t="s">
        <v>237</v>
      </c>
      <c r="B1322" s="2" t="s">
        <v>1040</v>
      </c>
      <c r="C1322" s="5" t="s">
        <v>2565</v>
      </c>
      <c r="D1322" s="2" t="s">
        <v>2566</v>
      </c>
    </row>
    <row r="1323" spans="1:4" ht="12.95" customHeight="1" x14ac:dyDescent="0.25">
      <c r="A1323" s="2" t="s">
        <v>237</v>
      </c>
      <c r="B1323" s="2" t="s">
        <v>1040</v>
      </c>
      <c r="C1323" s="5" t="s">
        <v>2567</v>
      </c>
      <c r="D1323" s="2" t="s">
        <v>2568</v>
      </c>
    </row>
    <row r="1324" spans="1:4" ht="12.95" customHeight="1" x14ac:dyDescent="0.25">
      <c r="A1324" s="2" t="s">
        <v>237</v>
      </c>
      <c r="B1324" s="2" t="s">
        <v>1040</v>
      </c>
      <c r="C1324" s="5" t="s">
        <v>2569</v>
      </c>
      <c r="D1324" s="2" t="s">
        <v>2570</v>
      </c>
    </row>
    <row r="1325" spans="1:4" ht="12.95" customHeight="1" x14ac:dyDescent="0.25">
      <c r="A1325" s="2" t="s">
        <v>237</v>
      </c>
      <c r="B1325" s="2" t="s">
        <v>1040</v>
      </c>
      <c r="C1325" s="5" t="s">
        <v>2571</v>
      </c>
      <c r="D1325" s="2" t="s">
        <v>2572</v>
      </c>
    </row>
    <row r="1326" spans="1:4" ht="12.95" customHeight="1" x14ac:dyDescent="0.25">
      <c r="A1326" s="2" t="s">
        <v>237</v>
      </c>
      <c r="B1326" s="2" t="s">
        <v>1040</v>
      </c>
      <c r="C1326" s="5" t="s">
        <v>2573</v>
      </c>
      <c r="D1326" s="2" t="s">
        <v>2574</v>
      </c>
    </row>
    <row r="1327" spans="1:4" ht="12.95" customHeight="1" x14ac:dyDescent="0.25">
      <c r="A1327" s="2" t="s">
        <v>237</v>
      </c>
      <c r="B1327" s="2" t="s">
        <v>1040</v>
      </c>
      <c r="C1327" s="5" t="s">
        <v>2575</v>
      </c>
      <c r="D1327" s="2" t="s">
        <v>2576</v>
      </c>
    </row>
    <row r="1328" spans="1:4" ht="12.95" customHeight="1" x14ac:dyDescent="0.25">
      <c r="A1328" s="2" t="s">
        <v>237</v>
      </c>
      <c r="B1328" s="2" t="s">
        <v>1040</v>
      </c>
      <c r="C1328" s="5" t="s">
        <v>2577</v>
      </c>
      <c r="D1328" s="2" t="s">
        <v>2578</v>
      </c>
    </row>
    <row r="1329" spans="1:4" ht="12.95" customHeight="1" x14ac:dyDescent="0.25">
      <c r="A1329" s="2" t="s">
        <v>237</v>
      </c>
      <c r="B1329" s="2" t="s">
        <v>1040</v>
      </c>
      <c r="C1329" s="5" t="s">
        <v>2579</v>
      </c>
      <c r="D1329" s="2" t="s">
        <v>2580</v>
      </c>
    </row>
    <row r="1330" spans="1:4" ht="12.95" customHeight="1" x14ac:dyDescent="0.25">
      <c r="A1330" s="2" t="s">
        <v>237</v>
      </c>
      <c r="B1330" s="2" t="s">
        <v>1040</v>
      </c>
      <c r="C1330" s="5" t="s">
        <v>2581</v>
      </c>
      <c r="D1330" s="2" t="s">
        <v>2582</v>
      </c>
    </row>
    <row r="1331" spans="1:4" ht="12.95" customHeight="1" x14ac:dyDescent="0.25">
      <c r="A1331" s="2" t="s">
        <v>237</v>
      </c>
      <c r="B1331" s="2" t="s">
        <v>1040</v>
      </c>
      <c r="C1331" s="5" t="s">
        <v>2583</v>
      </c>
      <c r="D1331" s="2" t="s">
        <v>2584</v>
      </c>
    </row>
    <row r="1332" spans="1:4" ht="12.95" customHeight="1" x14ac:dyDescent="0.25">
      <c r="A1332" s="2" t="s">
        <v>237</v>
      </c>
      <c r="B1332" s="2" t="s">
        <v>1040</v>
      </c>
      <c r="C1332" s="5" t="s">
        <v>2585</v>
      </c>
      <c r="D1332" s="2" t="s">
        <v>2586</v>
      </c>
    </row>
    <row r="1333" spans="1:4" ht="12.95" customHeight="1" x14ac:dyDescent="0.25">
      <c r="A1333" s="2" t="s">
        <v>237</v>
      </c>
      <c r="B1333" s="2" t="s">
        <v>1040</v>
      </c>
      <c r="C1333" s="5" t="s">
        <v>2587</v>
      </c>
      <c r="D1333" s="2" t="s">
        <v>2588</v>
      </c>
    </row>
    <row r="1334" spans="1:4" ht="12.95" customHeight="1" x14ac:dyDescent="0.25">
      <c r="A1334" s="2" t="s">
        <v>237</v>
      </c>
      <c r="B1334" s="2" t="s">
        <v>1040</v>
      </c>
      <c r="C1334" s="5" t="s">
        <v>2589</v>
      </c>
      <c r="D1334" s="2" t="s">
        <v>2590</v>
      </c>
    </row>
    <row r="1335" spans="1:4" ht="12.95" customHeight="1" x14ac:dyDescent="0.25">
      <c r="A1335" s="2" t="s">
        <v>237</v>
      </c>
      <c r="B1335" s="2" t="s">
        <v>1040</v>
      </c>
      <c r="C1335" s="5" t="s">
        <v>2591</v>
      </c>
      <c r="D1335" s="2" t="s">
        <v>2592</v>
      </c>
    </row>
    <row r="1336" spans="1:4" ht="12.95" customHeight="1" x14ac:dyDescent="0.25">
      <c r="A1336" s="2" t="s">
        <v>237</v>
      </c>
      <c r="B1336" s="2" t="s">
        <v>1040</v>
      </c>
      <c r="C1336" s="5" t="s">
        <v>2593</v>
      </c>
      <c r="D1336" s="2" t="s">
        <v>2594</v>
      </c>
    </row>
    <row r="1337" spans="1:4" ht="12.95" customHeight="1" x14ac:dyDescent="0.25">
      <c r="A1337" s="2" t="s">
        <v>237</v>
      </c>
      <c r="B1337" s="2" t="s">
        <v>1040</v>
      </c>
      <c r="C1337" s="5" t="s">
        <v>2595</v>
      </c>
      <c r="D1337" s="2" t="s">
        <v>2596</v>
      </c>
    </row>
    <row r="1338" spans="1:4" ht="12.95" customHeight="1" x14ac:dyDescent="0.25">
      <c r="A1338" s="2" t="s">
        <v>237</v>
      </c>
      <c r="B1338" s="2" t="s">
        <v>1040</v>
      </c>
      <c r="C1338" s="5" t="s">
        <v>2597</v>
      </c>
      <c r="D1338" s="2" t="s">
        <v>2598</v>
      </c>
    </row>
    <row r="1339" spans="1:4" ht="12.95" customHeight="1" x14ac:dyDescent="0.25">
      <c r="A1339" s="2" t="s">
        <v>237</v>
      </c>
      <c r="B1339" s="2" t="s">
        <v>1040</v>
      </c>
      <c r="C1339" s="5" t="s">
        <v>2599</v>
      </c>
      <c r="D1339" s="2" t="s">
        <v>2600</v>
      </c>
    </row>
    <row r="1340" spans="1:4" ht="12.95" customHeight="1" x14ac:dyDescent="0.25">
      <c r="A1340" s="2" t="s">
        <v>237</v>
      </c>
      <c r="B1340" s="2" t="s">
        <v>1040</v>
      </c>
      <c r="C1340" s="5" t="s">
        <v>2601</v>
      </c>
      <c r="D1340" s="2" t="s">
        <v>2602</v>
      </c>
    </row>
    <row r="1341" spans="1:4" ht="12.95" customHeight="1" x14ac:dyDescent="0.25">
      <c r="A1341" s="2" t="s">
        <v>237</v>
      </c>
      <c r="B1341" s="2" t="s">
        <v>1040</v>
      </c>
      <c r="C1341" s="5" t="s">
        <v>2603</v>
      </c>
      <c r="D1341" s="2" t="s">
        <v>2604</v>
      </c>
    </row>
    <row r="1342" spans="1:4" ht="12.95" customHeight="1" x14ac:dyDescent="0.25">
      <c r="A1342" s="2" t="s">
        <v>237</v>
      </c>
      <c r="B1342" s="2" t="s">
        <v>1040</v>
      </c>
      <c r="C1342" s="5" t="s">
        <v>2605</v>
      </c>
      <c r="D1342" s="2" t="s">
        <v>2606</v>
      </c>
    </row>
    <row r="1343" spans="1:4" ht="12.95" customHeight="1" x14ac:dyDescent="0.25">
      <c r="A1343" s="2" t="s">
        <v>237</v>
      </c>
      <c r="B1343" s="2" t="s">
        <v>1040</v>
      </c>
      <c r="C1343" s="5" t="s">
        <v>2607</v>
      </c>
      <c r="D1343" s="2" t="s">
        <v>2608</v>
      </c>
    </row>
    <row r="1344" spans="1:4" ht="12.95" customHeight="1" x14ac:dyDescent="0.25">
      <c r="A1344" s="2" t="s">
        <v>237</v>
      </c>
      <c r="B1344" s="2" t="s">
        <v>1040</v>
      </c>
      <c r="C1344" s="5" t="s">
        <v>2609</v>
      </c>
      <c r="D1344" s="2" t="s">
        <v>2610</v>
      </c>
    </row>
    <row r="1345" spans="1:4" ht="12.95" customHeight="1" x14ac:dyDescent="0.25">
      <c r="A1345" s="2" t="s">
        <v>237</v>
      </c>
      <c r="B1345" s="2" t="s">
        <v>1040</v>
      </c>
      <c r="C1345" s="5" t="s">
        <v>2611</v>
      </c>
      <c r="D1345" s="2" t="s">
        <v>2612</v>
      </c>
    </row>
    <row r="1346" spans="1:4" ht="12.95" customHeight="1" x14ac:dyDescent="0.25">
      <c r="A1346" s="2" t="s">
        <v>237</v>
      </c>
      <c r="B1346" s="2" t="s">
        <v>1040</v>
      </c>
      <c r="C1346" s="5" t="s">
        <v>2613</v>
      </c>
      <c r="D1346" s="2" t="s">
        <v>2614</v>
      </c>
    </row>
    <row r="1347" spans="1:4" ht="12.95" customHeight="1" x14ac:dyDescent="0.25">
      <c r="A1347" s="2" t="s">
        <v>237</v>
      </c>
      <c r="B1347" s="2" t="s">
        <v>1040</v>
      </c>
      <c r="C1347" s="5" t="s">
        <v>2615</v>
      </c>
      <c r="D1347" s="2" t="s">
        <v>2616</v>
      </c>
    </row>
    <row r="1348" spans="1:4" ht="12.95" customHeight="1" x14ac:dyDescent="0.25">
      <c r="A1348" s="2" t="s">
        <v>237</v>
      </c>
      <c r="B1348" s="2" t="s">
        <v>1040</v>
      </c>
      <c r="C1348" s="5" t="s">
        <v>2617</v>
      </c>
      <c r="D1348" s="2" t="s">
        <v>2618</v>
      </c>
    </row>
    <row r="1349" spans="1:4" ht="12.95" customHeight="1" x14ac:dyDescent="0.25">
      <c r="A1349" s="2" t="s">
        <v>237</v>
      </c>
      <c r="B1349" s="2" t="s">
        <v>1040</v>
      </c>
      <c r="C1349" s="5" t="s">
        <v>2619</v>
      </c>
      <c r="D1349" s="2" t="s">
        <v>2620</v>
      </c>
    </row>
    <row r="1350" spans="1:4" ht="12.95" customHeight="1" x14ac:dyDescent="0.25">
      <c r="A1350" s="2" t="s">
        <v>237</v>
      </c>
      <c r="B1350" s="2" t="s">
        <v>1040</v>
      </c>
      <c r="C1350" s="5" t="s">
        <v>2621</v>
      </c>
      <c r="D1350" s="2" t="s">
        <v>2622</v>
      </c>
    </row>
    <row r="1351" spans="1:4" ht="12.95" customHeight="1" x14ac:dyDescent="0.25">
      <c r="A1351" s="2" t="s">
        <v>237</v>
      </c>
      <c r="B1351" s="2" t="s">
        <v>1040</v>
      </c>
      <c r="C1351" s="5" t="s">
        <v>2623</v>
      </c>
      <c r="D1351" s="2" t="s">
        <v>2624</v>
      </c>
    </row>
    <row r="1352" spans="1:4" ht="12.95" customHeight="1" x14ac:dyDescent="0.25">
      <c r="A1352" s="2" t="s">
        <v>237</v>
      </c>
      <c r="B1352" s="2" t="s">
        <v>1040</v>
      </c>
      <c r="C1352" s="5" t="s">
        <v>2625</v>
      </c>
      <c r="D1352" s="2" t="s">
        <v>2626</v>
      </c>
    </row>
    <row r="1353" spans="1:4" ht="12.95" customHeight="1" x14ac:dyDescent="0.25">
      <c r="A1353" s="2" t="s">
        <v>237</v>
      </c>
      <c r="B1353" s="2" t="s">
        <v>1040</v>
      </c>
      <c r="C1353" s="5" t="s">
        <v>2627</v>
      </c>
      <c r="D1353" s="2" t="s">
        <v>2628</v>
      </c>
    </row>
    <row r="1354" spans="1:4" ht="12.95" customHeight="1" x14ac:dyDescent="0.25">
      <c r="A1354" s="2" t="s">
        <v>237</v>
      </c>
      <c r="B1354" s="2" t="s">
        <v>1040</v>
      </c>
      <c r="C1354" s="5" t="s">
        <v>2629</v>
      </c>
      <c r="D1354" s="2" t="s">
        <v>2630</v>
      </c>
    </row>
    <row r="1355" spans="1:4" ht="12.95" customHeight="1" x14ac:dyDescent="0.25">
      <c r="A1355" s="2" t="s">
        <v>237</v>
      </c>
      <c r="B1355" s="2" t="s">
        <v>1040</v>
      </c>
      <c r="C1355" s="5" t="s">
        <v>2631</v>
      </c>
      <c r="D1355" s="2" t="s">
        <v>2632</v>
      </c>
    </row>
    <row r="1356" spans="1:4" ht="12.95" customHeight="1" x14ac:dyDescent="0.25">
      <c r="A1356" s="2" t="s">
        <v>237</v>
      </c>
      <c r="B1356" s="2" t="s">
        <v>1040</v>
      </c>
      <c r="C1356" s="5" t="s">
        <v>2633</v>
      </c>
      <c r="D1356" s="2" t="s">
        <v>2634</v>
      </c>
    </row>
    <row r="1357" spans="1:4" ht="12.95" customHeight="1" x14ac:dyDescent="0.25">
      <c r="A1357" s="2" t="s">
        <v>237</v>
      </c>
      <c r="B1357" s="2" t="s">
        <v>1040</v>
      </c>
      <c r="C1357" s="5" t="s">
        <v>2635</v>
      </c>
      <c r="D1357" s="2" t="s">
        <v>2636</v>
      </c>
    </row>
    <row r="1358" spans="1:4" ht="12.95" customHeight="1" x14ac:dyDescent="0.25">
      <c r="A1358" s="2" t="s">
        <v>237</v>
      </c>
      <c r="B1358" s="2" t="s">
        <v>1040</v>
      </c>
      <c r="C1358" s="5" t="s">
        <v>2637</v>
      </c>
      <c r="D1358" s="2" t="s">
        <v>2638</v>
      </c>
    </row>
    <row r="1359" spans="1:4" ht="12.95" customHeight="1" x14ac:dyDescent="0.25">
      <c r="A1359" s="2" t="s">
        <v>237</v>
      </c>
      <c r="B1359" s="2" t="s">
        <v>1040</v>
      </c>
      <c r="C1359" s="5" t="s">
        <v>2639</v>
      </c>
      <c r="D1359" s="2" t="s">
        <v>2640</v>
      </c>
    </row>
    <row r="1360" spans="1:4" ht="12.95" customHeight="1" x14ac:dyDescent="0.25">
      <c r="A1360" s="2" t="s">
        <v>237</v>
      </c>
      <c r="B1360" s="2" t="s">
        <v>1040</v>
      </c>
      <c r="C1360" s="5" t="s">
        <v>2641</v>
      </c>
      <c r="D1360" s="2" t="s">
        <v>2642</v>
      </c>
    </row>
    <row r="1361" spans="1:4" ht="12.95" customHeight="1" x14ac:dyDescent="0.25">
      <c r="A1361" s="2" t="s">
        <v>237</v>
      </c>
      <c r="B1361" s="2" t="s">
        <v>1040</v>
      </c>
      <c r="C1361" s="5" t="s">
        <v>2643</v>
      </c>
      <c r="D1361" s="2" t="s">
        <v>2644</v>
      </c>
    </row>
    <row r="1362" spans="1:4" ht="12.95" customHeight="1" x14ac:dyDescent="0.25">
      <c r="A1362" s="2" t="s">
        <v>237</v>
      </c>
      <c r="B1362" s="2" t="s">
        <v>1040</v>
      </c>
      <c r="C1362" s="5" t="s">
        <v>2645</v>
      </c>
      <c r="D1362" s="2" t="s">
        <v>2646</v>
      </c>
    </row>
    <row r="1363" spans="1:4" ht="12.95" customHeight="1" x14ac:dyDescent="0.25">
      <c r="A1363" s="2" t="s">
        <v>237</v>
      </c>
      <c r="B1363" s="2" t="s">
        <v>1040</v>
      </c>
      <c r="C1363" s="5" t="s">
        <v>2647</v>
      </c>
      <c r="D1363" s="2" t="s">
        <v>2648</v>
      </c>
    </row>
    <row r="1364" spans="1:4" ht="12.95" customHeight="1" x14ac:dyDescent="0.25">
      <c r="A1364" s="2" t="s">
        <v>237</v>
      </c>
      <c r="B1364" s="2" t="s">
        <v>1040</v>
      </c>
      <c r="C1364" s="5" t="s">
        <v>2649</v>
      </c>
      <c r="D1364" s="2" t="s">
        <v>2650</v>
      </c>
    </row>
    <row r="1365" spans="1:4" ht="12.95" customHeight="1" x14ac:dyDescent="0.25">
      <c r="A1365" s="2" t="s">
        <v>237</v>
      </c>
      <c r="B1365" s="2" t="s">
        <v>1040</v>
      </c>
      <c r="C1365" s="5" t="s">
        <v>2651</v>
      </c>
      <c r="D1365" s="2" t="s">
        <v>2652</v>
      </c>
    </row>
    <row r="1366" spans="1:4" ht="12.95" customHeight="1" x14ac:dyDescent="0.25">
      <c r="A1366" s="2" t="s">
        <v>237</v>
      </c>
      <c r="B1366" s="2" t="s">
        <v>1040</v>
      </c>
      <c r="C1366" s="5" t="s">
        <v>2653</v>
      </c>
      <c r="D1366" s="2" t="s">
        <v>2654</v>
      </c>
    </row>
    <row r="1367" spans="1:4" ht="12.95" customHeight="1" x14ac:dyDescent="0.25">
      <c r="A1367" s="2" t="s">
        <v>237</v>
      </c>
      <c r="B1367" s="2" t="s">
        <v>1040</v>
      </c>
      <c r="C1367" s="5" t="s">
        <v>2655</v>
      </c>
      <c r="D1367" s="2" t="s">
        <v>2656</v>
      </c>
    </row>
    <row r="1368" spans="1:4" ht="12.95" customHeight="1" x14ac:dyDescent="0.25">
      <c r="A1368" s="2" t="s">
        <v>237</v>
      </c>
      <c r="B1368" s="2" t="s">
        <v>1040</v>
      </c>
      <c r="C1368" s="5" t="s">
        <v>2657</v>
      </c>
      <c r="D1368" s="2" t="s">
        <v>2658</v>
      </c>
    </row>
    <row r="1369" spans="1:4" ht="12.95" customHeight="1" x14ac:dyDescent="0.25">
      <c r="A1369" s="2" t="s">
        <v>237</v>
      </c>
      <c r="B1369" s="2" t="s">
        <v>1040</v>
      </c>
      <c r="C1369" s="5" t="s">
        <v>2659</v>
      </c>
      <c r="D1369" s="2" t="s">
        <v>2660</v>
      </c>
    </row>
    <row r="1370" spans="1:4" ht="12.95" customHeight="1" x14ac:dyDescent="0.25">
      <c r="A1370" s="2" t="s">
        <v>237</v>
      </c>
      <c r="B1370" s="2" t="s">
        <v>1040</v>
      </c>
      <c r="C1370" s="5" t="s">
        <v>2661</v>
      </c>
      <c r="D1370" s="2" t="s">
        <v>2662</v>
      </c>
    </row>
    <row r="1371" spans="1:4" ht="12.95" customHeight="1" x14ac:dyDescent="0.25">
      <c r="A1371" s="2" t="s">
        <v>237</v>
      </c>
      <c r="B1371" s="2" t="s">
        <v>1040</v>
      </c>
      <c r="C1371" s="5" t="s">
        <v>2663</v>
      </c>
      <c r="D1371" s="2" t="s">
        <v>2664</v>
      </c>
    </row>
    <row r="1372" spans="1:4" ht="12.95" customHeight="1" x14ac:dyDescent="0.25">
      <c r="A1372" s="2" t="s">
        <v>237</v>
      </c>
      <c r="B1372" s="2" t="s">
        <v>1040</v>
      </c>
      <c r="C1372" s="5" t="s">
        <v>2665</v>
      </c>
      <c r="D1372" s="2" t="s">
        <v>2666</v>
      </c>
    </row>
    <row r="1373" spans="1:4" ht="12.95" customHeight="1" x14ac:dyDescent="0.25">
      <c r="A1373" s="2" t="s">
        <v>237</v>
      </c>
      <c r="B1373" s="2" t="s">
        <v>1040</v>
      </c>
      <c r="C1373" s="5" t="s">
        <v>2667</v>
      </c>
      <c r="D1373" s="2" t="s">
        <v>2668</v>
      </c>
    </row>
    <row r="1374" spans="1:4" ht="12.95" customHeight="1" x14ac:dyDescent="0.25">
      <c r="A1374" s="2" t="s">
        <v>237</v>
      </c>
      <c r="B1374" s="2" t="s">
        <v>1040</v>
      </c>
      <c r="C1374" s="5" t="s">
        <v>2669</v>
      </c>
      <c r="D1374" s="2" t="s">
        <v>2670</v>
      </c>
    </row>
    <row r="1375" spans="1:4" ht="12.95" customHeight="1" x14ac:dyDescent="0.25">
      <c r="A1375" s="2" t="s">
        <v>237</v>
      </c>
      <c r="B1375" s="2" t="s">
        <v>1040</v>
      </c>
      <c r="C1375" s="5" t="s">
        <v>2671</v>
      </c>
      <c r="D1375" s="2" t="s">
        <v>2672</v>
      </c>
    </row>
    <row r="1376" spans="1:4" ht="12.95" customHeight="1" x14ac:dyDescent="0.25">
      <c r="A1376" s="2" t="s">
        <v>237</v>
      </c>
      <c r="B1376" s="2" t="s">
        <v>1040</v>
      </c>
      <c r="C1376" s="5" t="s">
        <v>2673</v>
      </c>
      <c r="D1376" s="2" t="s">
        <v>2674</v>
      </c>
    </row>
    <row r="1377" spans="1:4" ht="12.95" customHeight="1" x14ac:dyDescent="0.25">
      <c r="A1377" s="2" t="s">
        <v>237</v>
      </c>
      <c r="B1377" s="2" t="s">
        <v>1040</v>
      </c>
      <c r="C1377" s="5" t="s">
        <v>2675</v>
      </c>
      <c r="D1377" s="2" t="s">
        <v>2676</v>
      </c>
    </row>
    <row r="1378" spans="1:4" ht="12.95" customHeight="1" x14ac:dyDescent="0.25">
      <c r="A1378" s="2" t="s">
        <v>237</v>
      </c>
      <c r="B1378" s="2" t="s">
        <v>1040</v>
      </c>
      <c r="C1378" s="5" t="s">
        <v>2677</v>
      </c>
      <c r="D1378" s="2" t="s">
        <v>2678</v>
      </c>
    </row>
    <row r="1379" spans="1:4" ht="12.95" customHeight="1" x14ac:dyDescent="0.25">
      <c r="A1379" s="2" t="s">
        <v>237</v>
      </c>
      <c r="B1379" s="2" t="s">
        <v>1040</v>
      </c>
      <c r="C1379" s="5" t="s">
        <v>2679</v>
      </c>
      <c r="D1379" s="2" t="s">
        <v>2680</v>
      </c>
    </row>
    <row r="1380" spans="1:4" ht="12.95" customHeight="1" x14ac:dyDescent="0.25">
      <c r="A1380" s="2" t="s">
        <v>237</v>
      </c>
      <c r="B1380" s="2" t="s">
        <v>1040</v>
      </c>
      <c r="C1380" s="5" t="s">
        <v>2681</v>
      </c>
      <c r="D1380" s="2" t="s">
        <v>2682</v>
      </c>
    </row>
    <row r="1381" spans="1:4" ht="12.95" customHeight="1" x14ac:dyDescent="0.25">
      <c r="A1381" s="2" t="s">
        <v>237</v>
      </c>
      <c r="B1381" s="2" t="s">
        <v>1040</v>
      </c>
      <c r="C1381" s="5" t="s">
        <v>2683</v>
      </c>
      <c r="D1381" s="2" t="s">
        <v>2684</v>
      </c>
    </row>
    <row r="1382" spans="1:4" ht="12.95" customHeight="1" x14ac:dyDescent="0.25">
      <c r="A1382" s="2" t="s">
        <v>237</v>
      </c>
      <c r="B1382" s="2" t="s">
        <v>1040</v>
      </c>
      <c r="C1382" s="5" t="s">
        <v>2685</v>
      </c>
      <c r="D1382" s="2" t="s">
        <v>2686</v>
      </c>
    </row>
    <row r="1383" spans="1:4" ht="12.95" customHeight="1" x14ac:dyDescent="0.25">
      <c r="A1383" s="2" t="s">
        <v>237</v>
      </c>
      <c r="B1383" s="2" t="s">
        <v>1040</v>
      </c>
      <c r="C1383" s="5" t="s">
        <v>2687</v>
      </c>
      <c r="D1383" s="2" t="s">
        <v>2688</v>
      </c>
    </row>
    <row r="1384" spans="1:4" ht="12.95" customHeight="1" x14ac:dyDescent="0.25">
      <c r="A1384" s="2" t="s">
        <v>237</v>
      </c>
      <c r="B1384" s="2" t="s">
        <v>1040</v>
      </c>
      <c r="C1384" s="5" t="s">
        <v>2689</v>
      </c>
      <c r="D1384" s="2" t="s">
        <v>2690</v>
      </c>
    </row>
    <row r="1385" spans="1:4" ht="12.95" customHeight="1" x14ac:dyDescent="0.25">
      <c r="A1385" s="2" t="s">
        <v>237</v>
      </c>
      <c r="B1385" s="2" t="s">
        <v>1040</v>
      </c>
      <c r="C1385" s="5" t="s">
        <v>2691</v>
      </c>
      <c r="D1385" s="2" t="s">
        <v>2692</v>
      </c>
    </row>
    <row r="1386" spans="1:4" ht="12.95" customHeight="1" x14ac:dyDescent="0.25">
      <c r="A1386" s="2" t="s">
        <v>237</v>
      </c>
      <c r="B1386" s="2" t="s">
        <v>1040</v>
      </c>
      <c r="C1386" s="5" t="s">
        <v>2693</v>
      </c>
      <c r="D1386" s="2" t="s">
        <v>2694</v>
      </c>
    </row>
    <row r="1387" spans="1:4" ht="12.95" customHeight="1" x14ac:dyDescent="0.25">
      <c r="A1387" s="2" t="s">
        <v>237</v>
      </c>
      <c r="B1387" s="2" t="s">
        <v>1040</v>
      </c>
      <c r="C1387" s="5" t="s">
        <v>2695</v>
      </c>
      <c r="D1387" s="2" t="s">
        <v>2696</v>
      </c>
    </row>
    <row r="1388" spans="1:4" ht="12.95" customHeight="1" x14ac:dyDescent="0.25">
      <c r="A1388" s="2" t="s">
        <v>237</v>
      </c>
      <c r="B1388" s="2" t="s">
        <v>1040</v>
      </c>
      <c r="C1388" s="5" t="s">
        <v>2697</v>
      </c>
      <c r="D1388" s="2" t="s">
        <v>2698</v>
      </c>
    </row>
    <row r="1389" spans="1:4" ht="12.95" customHeight="1" x14ac:dyDescent="0.25">
      <c r="A1389" s="2" t="s">
        <v>237</v>
      </c>
      <c r="B1389" s="2" t="s">
        <v>1040</v>
      </c>
      <c r="C1389" s="5" t="s">
        <v>2699</v>
      </c>
      <c r="D1389" s="2" t="s">
        <v>2700</v>
      </c>
    </row>
    <row r="1390" spans="1:4" ht="12.95" customHeight="1" x14ac:dyDescent="0.25">
      <c r="A1390" s="2" t="s">
        <v>237</v>
      </c>
      <c r="B1390" s="2" t="s">
        <v>1040</v>
      </c>
      <c r="C1390" s="5" t="s">
        <v>2701</v>
      </c>
      <c r="D1390" s="2" t="s">
        <v>2702</v>
      </c>
    </row>
    <row r="1391" spans="1:4" ht="12.95" customHeight="1" x14ac:dyDescent="0.25">
      <c r="A1391" s="2" t="s">
        <v>237</v>
      </c>
      <c r="B1391" s="2" t="s">
        <v>1040</v>
      </c>
      <c r="C1391" s="5" t="s">
        <v>2703</v>
      </c>
      <c r="D1391" s="2" t="s">
        <v>2704</v>
      </c>
    </row>
    <row r="1392" spans="1:4" ht="12.95" customHeight="1" x14ac:dyDescent="0.25">
      <c r="A1392" s="2" t="s">
        <v>237</v>
      </c>
      <c r="B1392" s="2" t="s">
        <v>1040</v>
      </c>
      <c r="C1392" s="5" t="s">
        <v>2705</v>
      </c>
      <c r="D1392" s="2" t="s">
        <v>2706</v>
      </c>
    </row>
    <row r="1393" spans="1:4" ht="12.95" customHeight="1" x14ac:dyDescent="0.25">
      <c r="A1393" s="2" t="s">
        <v>237</v>
      </c>
      <c r="B1393" s="2" t="s">
        <v>1040</v>
      </c>
      <c r="C1393" s="5" t="s">
        <v>2707</v>
      </c>
      <c r="D1393" s="2" t="s">
        <v>2708</v>
      </c>
    </row>
    <row r="1394" spans="1:4" ht="12.95" customHeight="1" x14ac:dyDescent="0.25">
      <c r="A1394" s="2" t="s">
        <v>237</v>
      </c>
      <c r="B1394" s="2" t="s">
        <v>1040</v>
      </c>
      <c r="C1394" s="5" t="s">
        <v>2709</v>
      </c>
      <c r="D1394" s="2" t="s">
        <v>2710</v>
      </c>
    </row>
    <row r="1395" spans="1:4" ht="12.95" customHeight="1" x14ac:dyDescent="0.25">
      <c r="A1395" s="2" t="s">
        <v>237</v>
      </c>
      <c r="B1395" s="2" t="s">
        <v>1040</v>
      </c>
      <c r="C1395" s="5" t="s">
        <v>2711</v>
      </c>
      <c r="D1395" s="2" t="s">
        <v>2712</v>
      </c>
    </row>
    <row r="1396" spans="1:4" ht="12.95" customHeight="1" x14ac:dyDescent="0.25">
      <c r="A1396" s="2" t="s">
        <v>237</v>
      </c>
      <c r="B1396" s="2" t="s">
        <v>1040</v>
      </c>
      <c r="C1396" s="5" t="s">
        <v>2713</v>
      </c>
      <c r="D1396" s="2" t="s">
        <v>2714</v>
      </c>
    </row>
    <row r="1397" spans="1:4" ht="12.95" customHeight="1" x14ac:dyDescent="0.25">
      <c r="A1397" s="2" t="s">
        <v>237</v>
      </c>
      <c r="B1397" s="2" t="s">
        <v>1040</v>
      </c>
      <c r="C1397" s="5" t="s">
        <v>2715</v>
      </c>
      <c r="D1397" s="2" t="s">
        <v>2716</v>
      </c>
    </row>
    <row r="1398" spans="1:4" ht="12.95" customHeight="1" x14ac:dyDescent="0.25">
      <c r="A1398" s="2" t="s">
        <v>237</v>
      </c>
      <c r="B1398" s="2" t="s">
        <v>1040</v>
      </c>
      <c r="C1398" s="5" t="s">
        <v>2717</v>
      </c>
      <c r="D1398" s="2" t="s">
        <v>2718</v>
      </c>
    </row>
    <row r="1399" spans="1:4" ht="12.95" customHeight="1" x14ac:dyDescent="0.25">
      <c r="A1399" s="2" t="s">
        <v>237</v>
      </c>
      <c r="B1399" s="2" t="s">
        <v>1040</v>
      </c>
      <c r="C1399" s="5" t="s">
        <v>2719</v>
      </c>
      <c r="D1399" s="2" t="s">
        <v>2720</v>
      </c>
    </row>
    <row r="1400" spans="1:4" ht="12.95" customHeight="1" x14ac:dyDescent="0.25">
      <c r="A1400" s="2" t="s">
        <v>237</v>
      </c>
      <c r="B1400" s="2" t="s">
        <v>1040</v>
      </c>
      <c r="C1400" s="5" t="s">
        <v>2721</v>
      </c>
      <c r="D1400" s="2" t="s">
        <v>2722</v>
      </c>
    </row>
    <row r="1401" spans="1:4" ht="12.95" customHeight="1" x14ac:dyDescent="0.25">
      <c r="A1401" s="2" t="s">
        <v>237</v>
      </c>
      <c r="B1401" s="2" t="s">
        <v>1040</v>
      </c>
      <c r="C1401" s="5" t="s">
        <v>2723</v>
      </c>
      <c r="D1401" s="2" t="s">
        <v>2724</v>
      </c>
    </row>
    <row r="1402" spans="1:4" ht="12.95" customHeight="1" x14ac:dyDescent="0.25">
      <c r="A1402" s="2" t="s">
        <v>237</v>
      </c>
      <c r="B1402" s="2" t="s">
        <v>1040</v>
      </c>
      <c r="C1402" s="5" t="s">
        <v>2725</v>
      </c>
      <c r="D1402" s="2" t="s">
        <v>2726</v>
      </c>
    </row>
    <row r="1403" spans="1:4" ht="12.95" customHeight="1" x14ac:dyDescent="0.25">
      <c r="A1403" s="2" t="s">
        <v>237</v>
      </c>
      <c r="B1403" s="2" t="s">
        <v>1040</v>
      </c>
      <c r="C1403" s="5" t="s">
        <v>2727</v>
      </c>
      <c r="D1403" s="2" t="s">
        <v>2728</v>
      </c>
    </row>
    <row r="1404" spans="1:4" ht="12.95" customHeight="1" x14ac:dyDescent="0.25">
      <c r="A1404" s="2" t="s">
        <v>237</v>
      </c>
      <c r="B1404" s="2" t="s">
        <v>1040</v>
      </c>
      <c r="C1404" s="5" t="s">
        <v>2729</v>
      </c>
      <c r="D1404" s="2" t="s">
        <v>2730</v>
      </c>
    </row>
    <row r="1405" spans="1:4" ht="12.95" customHeight="1" x14ac:dyDescent="0.25">
      <c r="A1405" s="2" t="s">
        <v>237</v>
      </c>
      <c r="B1405" s="2" t="s">
        <v>1040</v>
      </c>
      <c r="C1405" s="5" t="s">
        <v>2731</v>
      </c>
      <c r="D1405" s="2" t="s">
        <v>2732</v>
      </c>
    </row>
    <row r="1406" spans="1:4" ht="12.95" customHeight="1" x14ac:dyDescent="0.25">
      <c r="A1406" s="2" t="s">
        <v>237</v>
      </c>
      <c r="B1406" s="2" t="s">
        <v>1040</v>
      </c>
      <c r="C1406" s="5" t="s">
        <v>2733</v>
      </c>
      <c r="D1406" s="2" t="s">
        <v>2734</v>
      </c>
    </row>
    <row r="1407" spans="1:4" ht="12.95" customHeight="1" x14ac:dyDescent="0.25">
      <c r="A1407" s="2" t="s">
        <v>237</v>
      </c>
      <c r="B1407" s="2" t="s">
        <v>1040</v>
      </c>
      <c r="C1407" s="5" t="s">
        <v>2735</v>
      </c>
      <c r="D1407" s="2" t="s">
        <v>2736</v>
      </c>
    </row>
    <row r="1408" spans="1:4" ht="12.95" customHeight="1" x14ac:dyDescent="0.25">
      <c r="A1408" s="2" t="s">
        <v>237</v>
      </c>
      <c r="B1408" s="2" t="s">
        <v>1040</v>
      </c>
      <c r="C1408" s="5" t="s">
        <v>2737</v>
      </c>
      <c r="D1408" s="2" t="s">
        <v>2738</v>
      </c>
    </row>
    <row r="1409" spans="1:4" ht="12.95" customHeight="1" x14ac:dyDescent="0.25">
      <c r="A1409" s="2" t="s">
        <v>237</v>
      </c>
      <c r="B1409" s="2" t="s">
        <v>1040</v>
      </c>
      <c r="C1409" s="5" t="s">
        <v>2739</v>
      </c>
      <c r="D1409" s="2" t="s">
        <v>2740</v>
      </c>
    </row>
    <row r="1410" spans="1:4" ht="12.95" customHeight="1" x14ac:dyDescent="0.25">
      <c r="A1410" s="2" t="s">
        <v>237</v>
      </c>
      <c r="B1410" s="2" t="s">
        <v>1040</v>
      </c>
      <c r="C1410" s="5" t="s">
        <v>2741</v>
      </c>
      <c r="D1410" s="2" t="s">
        <v>2742</v>
      </c>
    </row>
    <row r="1411" spans="1:4" ht="12.95" customHeight="1" x14ac:dyDescent="0.25">
      <c r="A1411" s="2" t="s">
        <v>237</v>
      </c>
      <c r="B1411" s="2" t="s">
        <v>1040</v>
      </c>
      <c r="C1411" s="5" t="s">
        <v>2743</v>
      </c>
      <c r="D1411" s="2" t="s">
        <v>2744</v>
      </c>
    </row>
    <row r="1412" spans="1:4" ht="12.95" customHeight="1" x14ac:dyDescent="0.25">
      <c r="A1412" s="2" t="s">
        <v>237</v>
      </c>
      <c r="B1412" s="2" t="s">
        <v>1040</v>
      </c>
      <c r="C1412" s="5" t="s">
        <v>2745</v>
      </c>
      <c r="D1412" s="2" t="s">
        <v>2746</v>
      </c>
    </row>
    <row r="1413" spans="1:4" ht="12.95" customHeight="1" x14ac:dyDescent="0.25">
      <c r="A1413" s="2" t="s">
        <v>237</v>
      </c>
      <c r="B1413" s="2" t="s">
        <v>1040</v>
      </c>
      <c r="C1413" s="5" t="s">
        <v>2747</v>
      </c>
      <c r="D1413" s="2" t="s">
        <v>2748</v>
      </c>
    </row>
    <row r="1414" spans="1:4" ht="12.95" customHeight="1" x14ac:dyDescent="0.25">
      <c r="A1414" s="2" t="s">
        <v>237</v>
      </c>
      <c r="B1414" s="2" t="s">
        <v>1040</v>
      </c>
      <c r="C1414" s="5" t="s">
        <v>2749</v>
      </c>
      <c r="D1414" s="2" t="s">
        <v>2750</v>
      </c>
    </row>
    <row r="1415" spans="1:4" ht="12.95" customHeight="1" x14ac:dyDescent="0.25">
      <c r="A1415" s="2" t="s">
        <v>237</v>
      </c>
      <c r="B1415" s="2" t="s">
        <v>1040</v>
      </c>
      <c r="C1415" s="5" t="s">
        <v>2751</v>
      </c>
      <c r="D1415" s="2" t="s">
        <v>2752</v>
      </c>
    </row>
    <row r="1416" spans="1:4" ht="12.95" customHeight="1" x14ac:dyDescent="0.25">
      <c r="A1416" s="2" t="s">
        <v>237</v>
      </c>
      <c r="B1416" s="2" t="s">
        <v>1040</v>
      </c>
      <c r="C1416" s="5" t="s">
        <v>2753</v>
      </c>
      <c r="D1416" s="2" t="s">
        <v>2754</v>
      </c>
    </row>
    <row r="1417" spans="1:4" ht="12.95" customHeight="1" x14ac:dyDescent="0.25">
      <c r="A1417" s="2" t="s">
        <v>237</v>
      </c>
      <c r="B1417" s="2" t="s">
        <v>1040</v>
      </c>
      <c r="C1417" s="5" t="s">
        <v>2755</v>
      </c>
      <c r="D1417" s="2" t="s">
        <v>2756</v>
      </c>
    </row>
    <row r="1418" spans="1:4" ht="12.95" customHeight="1" x14ac:dyDescent="0.25">
      <c r="A1418" s="2" t="s">
        <v>237</v>
      </c>
      <c r="B1418" s="2" t="s">
        <v>1040</v>
      </c>
      <c r="C1418" s="5" t="s">
        <v>2757</v>
      </c>
      <c r="D1418" s="2" t="s">
        <v>2758</v>
      </c>
    </row>
    <row r="1419" spans="1:4" ht="12.95" customHeight="1" x14ac:dyDescent="0.25">
      <c r="A1419" s="2" t="s">
        <v>237</v>
      </c>
      <c r="B1419" s="2" t="s">
        <v>1040</v>
      </c>
      <c r="C1419" s="5" t="s">
        <v>2759</v>
      </c>
      <c r="D1419" s="2" t="s">
        <v>2760</v>
      </c>
    </row>
    <row r="1420" spans="1:4" ht="12.95" customHeight="1" x14ac:dyDescent="0.25">
      <c r="A1420" s="2" t="s">
        <v>237</v>
      </c>
      <c r="B1420" s="2" t="s">
        <v>1040</v>
      </c>
      <c r="C1420" s="5" t="s">
        <v>2761</v>
      </c>
      <c r="D1420" s="2" t="s">
        <v>2762</v>
      </c>
    </row>
    <row r="1421" spans="1:4" ht="12.95" customHeight="1" x14ac:dyDescent="0.25">
      <c r="A1421" s="2" t="s">
        <v>237</v>
      </c>
      <c r="B1421" s="2" t="s">
        <v>1040</v>
      </c>
      <c r="C1421" s="5" t="s">
        <v>2763</v>
      </c>
      <c r="D1421" s="2" t="s">
        <v>2764</v>
      </c>
    </row>
    <row r="1422" spans="1:4" ht="12.95" customHeight="1" x14ac:dyDescent="0.25">
      <c r="A1422" s="2" t="s">
        <v>237</v>
      </c>
      <c r="B1422" s="2" t="s">
        <v>1040</v>
      </c>
      <c r="C1422" s="5" t="s">
        <v>2765</v>
      </c>
      <c r="D1422" s="2" t="s">
        <v>2766</v>
      </c>
    </row>
    <row r="1423" spans="1:4" ht="12.95" customHeight="1" x14ac:dyDescent="0.25">
      <c r="A1423" s="2" t="s">
        <v>237</v>
      </c>
      <c r="B1423" s="2" t="s">
        <v>1040</v>
      </c>
      <c r="C1423" s="5" t="s">
        <v>2767</v>
      </c>
      <c r="D1423" s="2" t="s">
        <v>2768</v>
      </c>
    </row>
    <row r="1424" spans="1:4" ht="12.95" customHeight="1" x14ac:dyDescent="0.25">
      <c r="A1424" s="2" t="s">
        <v>237</v>
      </c>
      <c r="B1424" s="2" t="s">
        <v>1040</v>
      </c>
      <c r="C1424" s="5" t="s">
        <v>2769</v>
      </c>
      <c r="D1424" s="2" t="s">
        <v>2770</v>
      </c>
    </row>
    <row r="1425" spans="1:4" ht="12.95" customHeight="1" x14ac:dyDescent="0.25">
      <c r="A1425" s="2" t="s">
        <v>237</v>
      </c>
      <c r="B1425" s="2" t="s">
        <v>1040</v>
      </c>
      <c r="C1425" s="5" t="s">
        <v>2771</v>
      </c>
      <c r="D1425" s="2" t="s">
        <v>2772</v>
      </c>
    </row>
    <row r="1426" spans="1:4" ht="12.95" customHeight="1" x14ac:dyDescent="0.25">
      <c r="A1426" s="2" t="s">
        <v>237</v>
      </c>
      <c r="B1426" s="2" t="s">
        <v>1040</v>
      </c>
      <c r="C1426" s="5" t="s">
        <v>2773</v>
      </c>
      <c r="D1426" s="2" t="s">
        <v>2774</v>
      </c>
    </row>
    <row r="1427" spans="1:4" ht="12.95" customHeight="1" x14ac:dyDescent="0.25">
      <c r="A1427" s="2" t="s">
        <v>237</v>
      </c>
      <c r="B1427" s="2" t="s">
        <v>1040</v>
      </c>
      <c r="C1427" s="5" t="s">
        <v>2775</v>
      </c>
      <c r="D1427" s="2" t="s">
        <v>2776</v>
      </c>
    </row>
    <row r="1428" spans="1:4" ht="12.95" customHeight="1" x14ac:dyDescent="0.25">
      <c r="A1428" s="2" t="s">
        <v>237</v>
      </c>
      <c r="B1428" s="2" t="s">
        <v>1040</v>
      </c>
      <c r="C1428" s="5" t="s">
        <v>2777</v>
      </c>
      <c r="D1428" s="2" t="s">
        <v>2778</v>
      </c>
    </row>
    <row r="1429" spans="1:4" ht="12.95" customHeight="1" x14ac:dyDescent="0.25">
      <c r="A1429" s="2" t="s">
        <v>237</v>
      </c>
      <c r="B1429" s="2" t="s">
        <v>1040</v>
      </c>
      <c r="C1429" s="5" t="s">
        <v>2779</v>
      </c>
      <c r="D1429" s="2" t="s">
        <v>2780</v>
      </c>
    </row>
    <row r="1430" spans="1:4" ht="12.95" customHeight="1" x14ac:dyDescent="0.25">
      <c r="A1430" s="2" t="s">
        <v>237</v>
      </c>
      <c r="B1430" s="2" t="s">
        <v>1040</v>
      </c>
      <c r="C1430" s="5" t="s">
        <v>2781</v>
      </c>
      <c r="D1430" s="2" t="s">
        <v>2782</v>
      </c>
    </row>
    <row r="1431" spans="1:4" ht="12.95" customHeight="1" x14ac:dyDescent="0.25">
      <c r="A1431" s="2" t="s">
        <v>237</v>
      </c>
      <c r="B1431" s="2" t="s">
        <v>1040</v>
      </c>
      <c r="C1431" s="5" t="s">
        <v>2783</v>
      </c>
      <c r="D1431" s="2" t="s">
        <v>2784</v>
      </c>
    </row>
    <row r="1432" spans="1:4" ht="12.95" customHeight="1" x14ac:dyDescent="0.25">
      <c r="A1432" s="2" t="s">
        <v>237</v>
      </c>
      <c r="B1432" s="2" t="s">
        <v>1040</v>
      </c>
      <c r="C1432" s="5" t="s">
        <v>2785</v>
      </c>
      <c r="D1432" s="2" t="s">
        <v>2786</v>
      </c>
    </row>
    <row r="1433" spans="1:4" ht="12.95" customHeight="1" x14ac:dyDescent="0.25">
      <c r="A1433" s="2" t="s">
        <v>237</v>
      </c>
      <c r="B1433" s="2" t="s">
        <v>1040</v>
      </c>
      <c r="C1433" s="5" t="s">
        <v>2787</v>
      </c>
      <c r="D1433" s="2" t="s">
        <v>2788</v>
      </c>
    </row>
    <row r="1434" spans="1:4" ht="12.95" customHeight="1" x14ac:dyDescent="0.25">
      <c r="A1434" s="2" t="s">
        <v>237</v>
      </c>
      <c r="B1434" s="2" t="s">
        <v>1040</v>
      </c>
      <c r="C1434" s="5" t="s">
        <v>2789</v>
      </c>
      <c r="D1434" s="2" t="s">
        <v>2790</v>
      </c>
    </row>
    <row r="1435" spans="1:4" ht="12.95" customHeight="1" x14ac:dyDescent="0.25">
      <c r="A1435" s="2" t="s">
        <v>237</v>
      </c>
      <c r="B1435" s="2" t="s">
        <v>1040</v>
      </c>
      <c r="C1435" s="5" t="s">
        <v>2791</v>
      </c>
      <c r="D1435" s="2" t="s">
        <v>2792</v>
      </c>
    </row>
    <row r="1436" spans="1:4" ht="12.95" customHeight="1" x14ac:dyDescent="0.25">
      <c r="A1436" s="2" t="s">
        <v>237</v>
      </c>
      <c r="B1436" s="2" t="s">
        <v>1040</v>
      </c>
      <c r="C1436" s="5" t="s">
        <v>2793</v>
      </c>
      <c r="D1436" s="2" t="s">
        <v>2794</v>
      </c>
    </row>
    <row r="1437" spans="1:4" ht="12.95" customHeight="1" x14ac:dyDescent="0.25">
      <c r="A1437" s="2" t="s">
        <v>237</v>
      </c>
      <c r="B1437" s="2" t="s">
        <v>1040</v>
      </c>
      <c r="C1437" s="5" t="s">
        <v>2795</v>
      </c>
      <c r="D1437" s="2" t="s">
        <v>2796</v>
      </c>
    </row>
    <row r="1438" spans="1:4" ht="12.95" customHeight="1" x14ac:dyDescent="0.25">
      <c r="A1438" s="2" t="s">
        <v>237</v>
      </c>
      <c r="B1438" s="2" t="s">
        <v>1040</v>
      </c>
      <c r="C1438" s="5" t="s">
        <v>2797</v>
      </c>
      <c r="D1438" s="2" t="s">
        <v>2798</v>
      </c>
    </row>
    <row r="1439" spans="1:4" ht="12.95" customHeight="1" x14ac:dyDescent="0.25">
      <c r="A1439" s="2" t="s">
        <v>237</v>
      </c>
      <c r="B1439" s="2" t="s">
        <v>1040</v>
      </c>
      <c r="C1439" s="5" t="s">
        <v>2799</v>
      </c>
      <c r="D1439" s="2" t="s">
        <v>2800</v>
      </c>
    </row>
    <row r="1440" spans="1:4" ht="12.95" customHeight="1" x14ac:dyDescent="0.25">
      <c r="A1440" s="2" t="s">
        <v>237</v>
      </c>
      <c r="B1440" s="2" t="s">
        <v>1040</v>
      </c>
      <c r="C1440" s="5" t="s">
        <v>2801</v>
      </c>
      <c r="D1440" s="2" t="s">
        <v>2802</v>
      </c>
    </row>
    <row r="1441" spans="1:4" ht="12.95" customHeight="1" x14ac:dyDescent="0.25">
      <c r="A1441" s="2" t="s">
        <v>237</v>
      </c>
      <c r="B1441" s="2" t="s">
        <v>1040</v>
      </c>
      <c r="C1441" s="5" t="s">
        <v>2803</v>
      </c>
      <c r="D1441" s="2" t="s">
        <v>2804</v>
      </c>
    </row>
    <row r="1442" spans="1:4" ht="12.95" customHeight="1" x14ac:dyDescent="0.25">
      <c r="A1442" s="2" t="s">
        <v>237</v>
      </c>
      <c r="B1442" s="2" t="s">
        <v>1040</v>
      </c>
      <c r="C1442" s="5" t="s">
        <v>2805</v>
      </c>
      <c r="D1442" s="2" t="s">
        <v>2806</v>
      </c>
    </row>
    <row r="1443" spans="1:4" ht="12.95" customHeight="1" x14ac:dyDescent="0.25">
      <c r="A1443" s="2" t="s">
        <v>237</v>
      </c>
      <c r="B1443" s="2" t="s">
        <v>1040</v>
      </c>
      <c r="C1443" s="5" t="s">
        <v>2807</v>
      </c>
      <c r="D1443" s="2" t="s">
        <v>2808</v>
      </c>
    </row>
    <row r="1444" spans="1:4" ht="12.95" customHeight="1" x14ac:dyDescent="0.25">
      <c r="A1444" s="2" t="s">
        <v>237</v>
      </c>
      <c r="B1444" s="2" t="s">
        <v>1040</v>
      </c>
      <c r="C1444" s="5" t="s">
        <v>2809</v>
      </c>
      <c r="D1444" s="2" t="s">
        <v>2810</v>
      </c>
    </row>
    <row r="1445" spans="1:4" ht="12.95" customHeight="1" x14ac:dyDescent="0.25">
      <c r="A1445" s="2" t="s">
        <v>237</v>
      </c>
      <c r="B1445" s="2" t="s">
        <v>1040</v>
      </c>
      <c r="C1445" s="5" t="s">
        <v>2811</v>
      </c>
      <c r="D1445" s="2" t="s">
        <v>2812</v>
      </c>
    </row>
    <row r="1446" spans="1:4" ht="12.95" customHeight="1" x14ac:dyDescent="0.25">
      <c r="A1446" s="2" t="s">
        <v>237</v>
      </c>
      <c r="B1446" s="2" t="s">
        <v>1040</v>
      </c>
      <c r="C1446" s="5" t="s">
        <v>2813</v>
      </c>
      <c r="D1446" s="2" t="s">
        <v>2814</v>
      </c>
    </row>
    <row r="1447" spans="1:4" ht="12.95" customHeight="1" x14ac:dyDescent="0.25">
      <c r="A1447" s="2" t="s">
        <v>237</v>
      </c>
      <c r="B1447" s="2" t="s">
        <v>1040</v>
      </c>
      <c r="C1447" s="5" t="s">
        <v>2815</v>
      </c>
      <c r="D1447" s="2" t="s">
        <v>2816</v>
      </c>
    </row>
    <row r="1448" spans="1:4" ht="12.95" customHeight="1" x14ac:dyDescent="0.25">
      <c r="A1448" s="2" t="s">
        <v>237</v>
      </c>
      <c r="B1448" s="2" t="s">
        <v>1040</v>
      </c>
      <c r="C1448" s="5" t="s">
        <v>2817</v>
      </c>
      <c r="D1448" s="2" t="s">
        <v>2818</v>
      </c>
    </row>
    <row r="1449" spans="1:4" ht="12.95" customHeight="1" x14ac:dyDescent="0.25">
      <c r="A1449" s="2" t="s">
        <v>237</v>
      </c>
      <c r="B1449" s="2" t="s">
        <v>1040</v>
      </c>
      <c r="C1449" s="5" t="s">
        <v>2819</v>
      </c>
      <c r="D1449" s="2" t="s">
        <v>2820</v>
      </c>
    </row>
    <row r="1450" spans="1:4" ht="12.95" customHeight="1" x14ac:dyDescent="0.25">
      <c r="A1450" s="2" t="s">
        <v>237</v>
      </c>
      <c r="B1450" s="2" t="s">
        <v>1040</v>
      </c>
      <c r="C1450" s="5" t="s">
        <v>2821</v>
      </c>
      <c r="D1450" s="2" t="s">
        <v>2822</v>
      </c>
    </row>
    <row r="1451" spans="1:4" ht="12.95" customHeight="1" x14ac:dyDescent="0.25">
      <c r="A1451" s="2" t="s">
        <v>237</v>
      </c>
      <c r="B1451" s="2" t="s">
        <v>1040</v>
      </c>
      <c r="C1451" s="5" t="s">
        <v>2823</v>
      </c>
      <c r="D1451" s="2" t="s">
        <v>2824</v>
      </c>
    </row>
    <row r="1452" spans="1:4" ht="12.95" customHeight="1" x14ac:dyDescent="0.25">
      <c r="A1452" s="2" t="s">
        <v>237</v>
      </c>
      <c r="B1452" s="2" t="s">
        <v>1040</v>
      </c>
      <c r="C1452" s="5" t="s">
        <v>2825</v>
      </c>
      <c r="D1452" s="2" t="s">
        <v>2826</v>
      </c>
    </row>
    <row r="1453" spans="1:4" ht="12.95" customHeight="1" x14ac:dyDescent="0.25">
      <c r="A1453" s="2" t="s">
        <v>237</v>
      </c>
      <c r="B1453" s="2" t="s">
        <v>1040</v>
      </c>
      <c r="C1453" s="5" t="s">
        <v>2827</v>
      </c>
      <c r="D1453" s="2" t="s">
        <v>2828</v>
      </c>
    </row>
    <row r="1454" spans="1:4" ht="12.95" customHeight="1" x14ac:dyDescent="0.25">
      <c r="A1454" s="2" t="s">
        <v>237</v>
      </c>
      <c r="B1454" s="2" t="s">
        <v>1040</v>
      </c>
      <c r="C1454" s="5" t="s">
        <v>2829</v>
      </c>
      <c r="D1454" s="2" t="s">
        <v>2830</v>
      </c>
    </row>
    <row r="1455" spans="1:4" ht="12.95" customHeight="1" x14ac:dyDescent="0.25">
      <c r="A1455" s="2" t="s">
        <v>237</v>
      </c>
      <c r="B1455" s="2" t="s">
        <v>1040</v>
      </c>
      <c r="C1455" s="5" t="s">
        <v>2831</v>
      </c>
      <c r="D1455" s="2" t="s">
        <v>2832</v>
      </c>
    </row>
    <row r="1456" spans="1:4" ht="12.95" customHeight="1" x14ac:dyDescent="0.25">
      <c r="A1456" s="2" t="s">
        <v>237</v>
      </c>
      <c r="B1456" s="2" t="s">
        <v>1040</v>
      </c>
      <c r="C1456" s="5" t="s">
        <v>2833</v>
      </c>
      <c r="D1456" s="2" t="s">
        <v>2834</v>
      </c>
    </row>
    <row r="1457" spans="1:4" ht="12.95" customHeight="1" x14ac:dyDescent="0.25">
      <c r="A1457" s="2" t="s">
        <v>237</v>
      </c>
      <c r="B1457" s="2" t="s">
        <v>1040</v>
      </c>
      <c r="C1457" s="5" t="s">
        <v>2835</v>
      </c>
      <c r="D1457" s="2" t="s">
        <v>2836</v>
      </c>
    </row>
    <row r="1458" spans="1:4" ht="12.95" customHeight="1" x14ac:dyDescent="0.25">
      <c r="A1458" s="2" t="s">
        <v>237</v>
      </c>
      <c r="B1458" s="2" t="s">
        <v>1040</v>
      </c>
      <c r="C1458" s="5" t="s">
        <v>2837</v>
      </c>
      <c r="D1458" s="2" t="s">
        <v>2838</v>
      </c>
    </row>
    <row r="1459" spans="1:4" ht="12.95" customHeight="1" x14ac:dyDescent="0.25">
      <c r="A1459" s="2" t="s">
        <v>237</v>
      </c>
      <c r="B1459" s="2" t="s">
        <v>1040</v>
      </c>
      <c r="C1459" s="5" t="s">
        <v>2839</v>
      </c>
      <c r="D1459" s="2" t="s">
        <v>2840</v>
      </c>
    </row>
    <row r="1460" spans="1:4" ht="12.95" customHeight="1" x14ac:dyDescent="0.25">
      <c r="A1460" s="2" t="s">
        <v>237</v>
      </c>
      <c r="B1460" s="2" t="s">
        <v>1040</v>
      </c>
      <c r="C1460" s="5" t="s">
        <v>2841</v>
      </c>
      <c r="D1460" s="2" t="s">
        <v>2842</v>
      </c>
    </row>
    <row r="1461" spans="1:4" ht="12.95" customHeight="1" x14ac:dyDescent="0.25">
      <c r="A1461" s="2" t="s">
        <v>237</v>
      </c>
      <c r="B1461" s="2" t="s">
        <v>1040</v>
      </c>
      <c r="C1461" s="5" t="s">
        <v>2843</v>
      </c>
      <c r="D1461" s="2" t="s">
        <v>2844</v>
      </c>
    </row>
    <row r="1462" spans="1:4" ht="12.95" customHeight="1" x14ac:dyDescent="0.25">
      <c r="A1462" s="2" t="s">
        <v>237</v>
      </c>
      <c r="B1462" s="2" t="s">
        <v>1040</v>
      </c>
      <c r="C1462" s="5" t="s">
        <v>2845</v>
      </c>
      <c r="D1462" s="2" t="s">
        <v>2846</v>
      </c>
    </row>
    <row r="1463" spans="1:4" ht="12.95" customHeight="1" x14ac:dyDescent="0.25">
      <c r="A1463" s="2" t="s">
        <v>237</v>
      </c>
      <c r="B1463" s="2" t="s">
        <v>1040</v>
      </c>
      <c r="C1463" s="5" t="s">
        <v>2847</v>
      </c>
      <c r="D1463" s="2" t="s">
        <v>2848</v>
      </c>
    </row>
    <row r="1464" spans="1:4" ht="12.95" customHeight="1" x14ac:dyDescent="0.25">
      <c r="A1464" s="2" t="s">
        <v>237</v>
      </c>
      <c r="B1464" s="2" t="s">
        <v>1040</v>
      </c>
      <c r="C1464" s="5" t="s">
        <v>2849</v>
      </c>
      <c r="D1464" s="2" t="s">
        <v>2850</v>
      </c>
    </row>
    <row r="1465" spans="1:4" ht="12.95" customHeight="1" x14ac:dyDescent="0.25">
      <c r="A1465" s="2" t="s">
        <v>237</v>
      </c>
      <c r="B1465" s="2" t="s">
        <v>1040</v>
      </c>
      <c r="C1465" s="5" t="s">
        <v>2851</v>
      </c>
      <c r="D1465" s="2" t="s">
        <v>2852</v>
      </c>
    </row>
    <row r="1466" spans="1:4" ht="12.95" customHeight="1" x14ac:dyDescent="0.25">
      <c r="A1466" s="2" t="s">
        <v>237</v>
      </c>
      <c r="B1466" s="2" t="s">
        <v>1040</v>
      </c>
      <c r="C1466" s="5" t="s">
        <v>2853</v>
      </c>
      <c r="D1466" s="2" t="s">
        <v>2854</v>
      </c>
    </row>
    <row r="1467" spans="1:4" ht="12.95" customHeight="1" x14ac:dyDescent="0.25">
      <c r="A1467" s="2" t="s">
        <v>237</v>
      </c>
      <c r="B1467" s="2" t="s">
        <v>1040</v>
      </c>
      <c r="C1467" s="5" t="s">
        <v>2855</v>
      </c>
      <c r="D1467" s="2" t="s">
        <v>2856</v>
      </c>
    </row>
    <row r="1468" spans="1:4" ht="12.95" customHeight="1" x14ac:dyDescent="0.25">
      <c r="A1468" s="2" t="s">
        <v>237</v>
      </c>
      <c r="B1468" s="2" t="s">
        <v>1040</v>
      </c>
      <c r="C1468" s="5" t="s">
        <v>2857</v>
      </c>
      <c r="D1468" s="2" t="s">
        <v>2858</v>
      </c>
    </row>
    <row r="1469" spans="1:4" ht="12.95" customHeight="1" x14ac:dyDescent="0.25">
      <c r="A1469" s="2" t="s">
        <v>237</v>
      </c>
      <c r="B1469" s="2" t="s">
        <v>1040</v>
      </c>
      <c r="C1469" s="5" t="s">
        <v>2859</v>
      </c>
      <c r="D1469" s="2" t="s">
        <v>2860</v>
      </c>
    </row>
    <row r="1470" spans="1:4" ht="12.95" customHeight="1" x14ac:dyDescent="0.25">
      <c r="A1470" s="2" t="s">
        <v>237</v>
      </c>
      <c r="B1470" s="2" t="s">
        <v>1040</v>
      </c>
      <c r="C1470" s="5" t="s">
        <v>2861</v>
      </c>
      <c r="D1470" s="2" t="s">
        <v>2862</v>
      </c>
    </row>
    <row r="1471" spans="1:4" ht="12.95" customHeight="1" x14ac:dyDescent="0.25">
      <c r="A1471" s="2" t="s">
        <v>237</v>
      </c>
      <c r="B1471" s="2" t="s">
        <v>1040</v>
      </c>
      <c r="C1471" s="5" t="s">
        <v>2863</v>
      </c>
      <c r="D1471" s="2" t="s">
        <v>2864</v>
      </c>
    </row>
    <row r="1472" spans="1:4" ht="12.95" customHeight="1" x14ac:dyDescent="0.25">
      <c r="A1472" s="2" t="s">
        <v>237</v>
      </c>
      <c r="B1472" s="2" t="s">
        <v>1040</v>
      </c>
      <c r="C1472" s="5" t="s">
        <v>2865</v>
      </c>
      <c r="D1472" s="2" t="s">
        <v>2866</v>
      </c>
    </row>
    <row r="1473" spans="1:4" ht="12.95" customHeight="1" x14ac:dyDescent="0.25">
      <c r="A1473" s="2" t="s">
        <v>237</v>
      </c>
      <c r="B1473" s="2" t="s">
        <v>1040</v>
      </c>
      <c r="C1473" s="5" t="s">
        <v>2867</v>
      </c>
      <c r="D1473" s="2" t="s">
        <v>2868</v>
      </c>
    </row>
    <row r="1474" spans="1:4" ht="12.95" customHeight="1" x14ac:dyDescent="0.25">
      <c r="A1474" s="2" t="s">
        <v>237</v>
      </c>
      <c r="B1474" s="2" t="s">
        <v>1040</v>
      </c>
      <c r="C1474" s="5" t="s">
        <v>2869</v>
      </c>
      <c r="D1474" s="2" t="s">
        <v>2870</v>
      </c>
    </row>
    <row r="1475" spans="1:4" ht="12.95" customHeight="1" x14ac:dyDescent="0.25">
      <c r="A1475" s="2" t="s">
        <v>237</v>
      </c>
      <c r="B1475" s="2" t="s">
        <v>1040</v>
      </c>
      <c r="C1475" s="5" t="s">
        <v>2871</v>
      </c>
      <c r="D1475" s="2" t="s">
        <v>2872</v>
      </c>
    </row>
    <row r="1476" spans="1:4" ht="12.95" customHeight="1" x14ac:dyDescent="0.25">
      <c r="A1476" s="2" t="s">
        <v>237</v>
      </c>
      <c r="B1476" s="2" t="s">
        <v>1040</v>
      </c>
      <c r="C1476" s="5" t="s">
        <v>2873</v>
      </c>
      <c r="D1476" s="2" t="s">
        <v>2874</v>
      </c>
    </row>
    <row r="1477" spans="1:4" ht="12.95" customHeight="1" x14ac:dyDescent="0.25">
      <c r="A1477" s="2" t="s">
        <v>237</v>
      </c>
      <c r="B1477" s="2" t="s">
        <v>1040</v>
      </c>
      <c r="C1477" s="5" t="s">
        <v>2875</v>
      </c>
      <c r="D1477" s="2" t="s">
        <v>2876</v>
      </c>
    </row>
    <row r="1478" spans="1:4" ht="12.95" customHeight="1" x14ac:dyDescent="0.25">
      <c r="A1478" s="2" t="s">
        <v>237</v>
      </c>
      <c r="B1478" s="2" t="s">
        <v>1040</v>
      </c>
      <c r="C1478" s="5" t="s">
        <v>2877</v>
      </c>
      <c r="D1478" s="2" t="s">
        <v>2878</v>
      </c>
    </row>
    <row r="1479" spans="1:4" ht="12.95" customHeight="1" x14ac:dyDescent="0.25">
      <c r="A1479" s="2" t="s">
        <v>237</v>
      </c>
      <c r="B1479" s="2" t="s">
        <v>1040</v>
      </c>
      <c r="C1479" s="5" t="s">
        <v>2879</v>
      </c>
      <c r="D1479" s="2" t="s">
        <v>2880</v>
      </c>
    </row>
    <row r="1480" spans="1:4" ht="12.95" customHeight="1" x14ac:dyDescent="0.25">
      <c r="A1480" s="2" t="s">
        <v>237</v>
      </c>
      <c r="B1480" s="2" t="s">
        <v>1040</v>
      </c>
      <c r="C1480" s="5" t="s">
        <v>2881</v>
      </c>
      <c r="D1480" s="2" t="s">
        <v>2882</v>
      </c>
    </row>
    <row r="1481" spans="1:4" ht="12.95" customHeight="1" x14ac:dyDescent="0.25">
      <c r="A1481" s="2" t="s">
        <v>237</v>
      </c>
      <c r="B1481" s="2" t="s">
        <v>1040</v>
      </c>
      <c r="C1481" s="5" t="s">
        <v>2883</v>
      </c>
      <c r="D1481" s="2" t="s">
        <v>2884</v>
      </c>
    </row>
    <row r="1482" spans="1:4" ht="12.95" customHeight="1" x14ac:dyDescent="0.25">
      <c r="A1482" s="2" t="s">
        <v>237</v>
      </c>
      <c r="B1482" s="2" t="s">
        <v>1040</v>
      </c>
      <c r="C1482" s="5" t="s">
        <v>2885</v>
      </c>
      <c r="D1482" s="2" t="s">
        <v>2886</v>
      </c>
    </row>
    <row r="1483" spans="1:4" ht="12.95" customHeight="1" x14ac:dyDescent="0.25">
      <c r="A1483" s="2" t="s">
        <v>237</v>
      </c>
      <c r="B1483" s="2" t="s">
        <v>1040</v>
      </c>
      <c r="C1483" s="5" t="s">
        <v>2887</v>
      </c>
      <c r="D1483" s="2" t="s">
        <v>2888</v>
      </c>
    </row>
    <row r="1484" spans="1:4" ht="12.95" customHeight="1" x14ac:dyDescent="0.25">
      <c r="A1484" s="2" t="s">
        <v>237</v>
      </c>
      <c r="B1484" s="2" t="s">
        <v>1040</v>
      </c>
      <c r="C1484" s="5" t="s">
        <v>2889</v>
      </c>
      <c r="D1484" s="2" t="s">
        <v>2890</v>
      </c>
    </row>
    <row r="1485" spans="1:4" ht="12.95" customHeight="1" x14ac:dyDescent="0.25">
      <c r="A1485" s="2" t="s">
        <v>237</v>
      </c>
      <c r="B1485" s="2" t="s">
        <v>1040</v>
      </c>
      <c r="C1485" s="5" t="s">
        <v>2891</v>
      </c>
      <c r="D1485" s="2" t="s">
        <v>2892</v>
      </c>
    </row>
    <row r="1486" spans="1:4" ht="12.95" customHeight="1" x14ac:dyDescent="0.25">
      <c r="A1486" s="2" t="s">
        <v>237</v>
      </c>
      <c r="B1486" s="2" t="s">
        <v>1040</v>
      </c>
      <c r="C1486" s="5" t="s">
        <v>2893</v>
      </c>
      <c r="D1486" s="2" t="s">
        <v>2894</v>
      </c>
    </row>
    <row r="1487" spans="1:4" ht="12.95" customHeight="1" x14ac:dyDescent="0.25">
      <c r="A1487" s="2" t="s">
        <v>237</v>
      </c>
      <c r="B1487" s="2" t="s">
        <v>1040</v>
      </c>
      <c r="C1487" s="5" t="s">
        <v>2895</v>
      </c>
      <c r="D1487" s="2" t="s">
        <v>2896</v>
      </c>
    </row>
    <row r="1488" spans="1:4" ht="12.95" customHeight="1" x14ac:dyDescent="0.25">
      <c r="A1488" s="2" t="s">
        <v>237</v>
      </c>
      <c r="B1488" s="2" t="s">
        <v>1040</v>
      </c>
      <c r="C1488" s="5" t="s">
        <v>2897</v>
      </c>
      <c r="D1488" s="2" t="s">
        <v>2898</v>
      </c>
    </row>
    <row r="1489" spans="1:4" ht="12.95" customHeight="1" x14ac:dyDescent="0.25">
      <c r="A1489" s="2" t="s">
        <v>237</v>
      </c>
      <c r="B1489" s="2" t="s">
        <v>1040</v>
      </c>
      <c r="C1489" s="5" t="s">
        <v>2899</v>
      </c>
      <c r="D1489" s="2" t="s">
        <v>2900</v>
      </c>
    </row>
    <row r="1490" spans="1:4" ht="12.95" customHeight="1" x14ac:dyDescent="0.25">
      <c r="A1490" s="2" t="s">
        <v>237</v>
      </c>
      <c r="B1490" s="2" t="s">
        <v>1040</v>
      </c>
      <c r="C1490" s="5" t="s">
        <v>2901</v>
      </c>
      <c r="D1490" s="2" t="s">
        <v>2902</v>
      </c>
    </row>
    <row r="1491" spans="1:4" ht="12.95" customHeight="1" x14ac:dyDescent="0.25">
      <c r="A1491" s="2" t="s">
        <v>237</v>
      </c>
      <c r="B1491" s="2" t="s">
        <v>1040</v>
      </c>
      <c r="C1491" s="5" t="s">
        <v>2903</v>
      </c>
      <c r="D1491" s="2" t="s">
        <v>2904</v>
      </c>
    </row>
    <row r="1492" spans="1:4" ht="12.95" customHeight="1" x14ac:dyDescent="0.25">
      <c r="A1492" s="2" t="s">
        <v>237</v>
      </c>
      <c r="B1492" s="2" t="s">
        <v>1040</v>
      </c>
      <c r="C1492" s="5" t="s">
        <v>2905</v>
      </c>
      <c r="D1492" s="2" t="s">
        <v>2906</v>
      </c>
    </row>
    <row r="1493" spans="1:4" ht="12.95" customHeight="1" x14ac:dyDescent="0.25">
      <c r="A1493" s="2" t="s">
        <v>237</v>
      </c>
      <c r="B1493" s="2" t="s">
        <v>1040</v>
      </c>
      <c r="C1493" s="5" t="s">
        <v>2907</v>
      </c>
      <c r="D1493" s="2" t="s">
        <v>2908</v>
      </c>
    </row>
    <row r="1494" spans="1:4" ht="12.95" customHeight="1" x14ac:dyDescent="0.25">
      <c r="A1494" s="2" t="s">
        <v>237</v>
      </c>
      <c r="B1494" s="2" t="s">
        <v>1040</v>
      </c>
      <c r="C1494" s="5" t="s">
        <v>2909</v>
      </c>
      <c r="D1494" s="2" t="s">
        <v>2910</v>
      </c>
    </row>
    <row r="1495" spans="1:4" ht="12.95" customHeight="1" x14ac:dyDescent="0.25">
      <c r="A1495" s="2" t="s">
        <v>237</v>
      </c>
      <c r="B1495" s="2" t="s">
        <v>1040</v>
      </c>
      <c r="C1495" s="5" t="s">
        <v>2911</v>
      </c>
      <c r="D1495" s="2" t="s">
        <v>2912</v>
      </c>
    </row>
    <row r="1496" spans="1:4" ht="12.95" customHeight="1" x14ac:dyDescent="0.25">
      <c r="A1496" s="2" t="s">
        <v>237</v>
      </c>
      <c r="B1496" s="2" t="s">
        <v>1040</v>
      </c>
      <c r="C1496" s="5" t="s">
        <v>2913</v>
      </c>
      <c r="D1496" s="2" t="s">
        <v>2914</v>
      </c>
    </row>
    <row r="1497" spans="1:4" ht="12.95" customHeight="1" x14ac:dyDescent="0.25">
      <c r="A1497" s="2" t="s">
        <v>237</v>
      </c>
      <c r="B1497" s="2" t="s">
        <v>1040</v>
      </c>
      <c r="C1497" s="5" t="s">
        <v>2915</v>
      </c>
      <c r="D1497" s="2" t="s">
        <v>2916</v>
      </c>
    </row>
    <row r="1498" spans="1:4" ht="12.95" customHeight="1" x14ac:dyDescent="0.25">
      <c r="A1498" s="2" t="s">
        <v>237</v>
      </c>
      <c r="B1498" s="2" t="s">
        <v>1040</v>
      </c>
      <c r="C1498" s="5" t="s">
        <v>2917</v>
      </c>
      <c r="D1498" s="2" t="s">
        <v>2918</v>
      </c>
    </row>
    <row r="1499" spans="1:4" ht="12.95" customHeight="1" x14ac:dyDescent="0.25">
      <c r="A1499" s="2" t="s">
        <v>237</v>
      </c>
      <c r="B1499" s="2" t="s">
        <v>1040</v>
      </c>
      <c r="C1499" s="5" t="s">
        <v>2919</v>
      </c>
      <c r="D1499" s="2" t="s">
        <v>2920</v>
      </c>
    </row>
    <row r="1500" spans="1:4" ht="12.95" customHeight="1" x14ac:dyDescent="0.25">
      <c r="A1500" s="2" t="s">
        <v>237</v>
      </c>
      <c r="B1500" s="2" t="s">
        <v>1040</v>
      </c>
      <c r="C1500" s="5" t="s">
        <v>2921</v>
      </c>
      <c r="D1500" s="2" t="s">
        <v>2922</v>
      </c>
    </row>
    <row r="1501" spans="1:4" ht="12.95" customHeight="1" x14ac:dyDescent="0.25">
      <c r="A1501" s="2" t="s">
        <v>237</v>
      </c>
      <c r="B1501" s="2" t="s">
        <v>1040</v>
      </c>
      <c r="C1501" s="5" t="s">
        <v>2923</v>
      </c>
      <c r="D1501" s="2" t="s">
        <v>2924</v>
      </c>
    </row>
    <row r="1502" spans="1:4" ht="12.95" customHeight="1" x14ac:dyDescent="0.25">
      <c r="A1502" s="2" t="s">
        <v>237</v>
      </c>
      <c r="B1502" s="2" t="s">
        <v>1040</v>
      </c>
      <c r="C1502" s="5" t="s">
        <v>2925</v>
      </c>
      <c r="D1502" s="2" t="s">
        <v>2926</v>
      </c>
    </row>
    <row r="1503" spans="1:4" ht="12.95" customHeight="1" x14ac:dyDescent="0.25">
      <c r="A1503" s="2" t="s">
        <v>237</v>
      </c>
      <c r="B1503" s="2" t="s">
        <v>1040</v>
      </c>
      <c r="C1503" s="5" t="s">
        <v>2927</v>
      </c>
      <c r="D1503" s="2" t="s">
        <v>2928</v>
      </c>
    </row>
    <row r="1504" spans="1:4" ht="12.95" customHeight="1" x14ac:dyDescent="0.25">
      <c r="A1504" s="2" t="s">
        <v>237</v>
      </c>
      <c r="B1504" s="2" t="s">
        <v>1040</v>
      </c>
      <c r="C1504" s="5" t="s">
        <v>2929</v>
      </c>
      <c r="D1504" s="2" t="s">
        <v>2930</v>
      </c>
    </row>
    <row r="1505" spans="1:4" ht="12.95" customHeight="1" x14ac:dyDescent="0.25">
      <c r="A1505" s="2" t="s">
        <v>237</v>
      </c>
      <c r="B1505" s="2" t="s">
        <v>1040</v>
      </c>
      <c r="C1505" s="5" t="s">
        <v>2931</v>
      </c>
      <c r="D1505" s="2" t="s">
        <v>2932</v>
      </c>
    </row>
    <row r="1506" spans="1:4" ht="12.95" customHeight="1" x14ac:dyDescent="0.25">
      <c r="A1506" s="2" t="s">
        <v>237</v>
      </c>
      <c r="B1506" s="2" t="s">
        <v>1040</v>
      </c>
      <c r="C1506" s="5" t="s">
        <v>2933</v>
      </c>
      <c r="D1506" s="2" t="s">
        <v>2934</v>
      </c>
    </row>
    <row r="1507" spans="1:4" ht="12.95" customHeight="1" x14ac:dyDescent="0.25">
      <c r="A1507" s="2" t="s">
        <v>237</v>
      </c>
      <c r="B1507" s="2" t="s">
        <v>1040</v>
      </c>
      <c r="C1507" s="5" t="s">
        <v>2935</v>
      </c>
      <c r="D1507" s="2" t="s">
        <v>2936</v>
      </c>
    </row>
    <row r="1508" spans="1:4" ht="12.95" customHeight="1" x14ac:dyDescent="0.25">
      <c r="A1508" s="2" t="s">
        <v>237</v>
      </c>
      <c r="B1508" s="2" t="s">
        <v>1040</v>
      </c>
      <c r="C1508" s="5" t="s">
        <v>2937</v>
      </c>
      <c r="D1508" s="2" t="s">
        <v>2938</v>
      </c>
    </row>
    <row r="1509" spans="1:4" ht="12.95" customHeight="1" x14ac:dyDescent="0.25">
      <c r="A1509" s="2" t="s">
        <v>237</v>
      </c>
      <c r="B1509" s="2" t="s">
        <v>1040</v>
      </c>
      <c r="C1509" s="5" t="s">
        <v>2939</v>
      </c>
      <c r="D1509" s="2" t="s">
        <v>2940</v>
      </c>
    </row>
    <row r="1510" spans="1:4" ht="12.95" customHeight="1" x14ac:dyDescent="0.25">
      <c r="A1510" s="2" t="s">
        <v>237</v>
      </c>
      <c r="B1510" s="2" t="s">
        <v>1040</v>
      </c>
      <c r="C1510" s="5" t="s">
        <v>2941</v>
      </c>
      <c r="D1510" s="2" t="s">
        <v>2942</v>
      </c>
    </row>
    <row r="1511" spans="1:4" ht="12.95" customHeight="1" x14ac:dyDescent="0.25">
      <c r="A1511" s="2" t="s">
        <v>237</v>
      </c>
      <c r="B1511" s="2" t="s">
        <v>1040</v>
      </c>
      <c r="C1511" s="5" t="s">
        <v>2943</v>
      </c>
      <c r="D1511" s="2" t="s">
        <v>2944</v>
      </c>
    </row>
    <row r="1512" spans="1:4" ht="12.95" customHeight="1" x14ac:dyDescent="0.25">
      <c r="A1512" s="2" t="s">
        <v>237</v>
      </c>
      <c r="B1512" s="2" t="s">
        <v>1040</v>
      </c>
      <c r="C1512" s="5" t="s">
        <v>2945</v>
      </c>
      <c r="D1512" s="2" t="s">
        <v>2946</v>
      </c>
    </row>
    <row r="1513" spans="1:4" ht="12.95" customHeight="1" x14ac:dyDescent="0.25">
      <c r="A1513" s="2" t="s">
        <v>237</v>
      </c>
      <c r="B1513" s="2" t="s">
        <v>1040</v>
      </c>
      <c r="C1513" s="5" t="s">
        <v>2947</v>
      </c>
      <c r="D1513" s="2" t="s">
        <v>2948</v>
      </c>
    </row>
    <row r="1514" spans="1:4" ht="12.95" customHeight="1" x14ac:dyDescent="0.25">
      <c r="A1514" s="2" t="s">
        <v>237</v>
      </c>
      <c r="B1514" s="2" t="s">
        <v>1040</v>
      </c>
      <c r="C1514" s="5" t="s">
        <v>2949</v>
      </c>
      <c r="D1514" s="2" t="s">
        <v>2950</v>
      </c>
    </row>
    <row r="1515" spans="1:4" ht="12.95" customHeight="1" x14ac:dyDescent="0.25">
      <c r="A1515" s="2" t="s">
        <v>237</v>
      </c>
      <c r="B1515" s="2" t="s">
        <v>1040</v>
      </c>
      <c r="C1515" s="5" t="s">
        <v>2951</v>
      </c>
      <c r="D1515" s="2" t="s">
        <v>2952</v>
      </c>
    </row>
    <row r="1516" spans="1:4" ht="12.95" customHeight="1" x14ac:dyDescent="0.25">
      <c r="A1516" s="2" t="s">
        <v>237</v>
      </c>
      <c r="B1516" s="2" t="s">
        <v>1040</v>
      </c>
      <c r="C1516" s="5" t="s">
        <v>2953</v>
      </c>
      <c r="D1516" s="2" t="s">
        <v>2954</v>
      </c>
    </row>
    <row r="1517" spans="1:4" ht="12.95" customHeight="1" x14ac:dyDescent="0.25">
      <c r="A1517" s="2" t="s">
        <v>237</v>
      </c>
      <c r="B1517" s="2" t="s">
        <v>1040</v>
      </c>
      <c r="C1517" s="5" t="s">
        <v>2955</v>
      </c>
      <c r="D1517" s="2" t="s">
        <v>2956</v>
      </c>
    </row>
    <row r="1518" spans="1:4" ht="12.95" customHeight="1" x14ac:dyDescent="0.25">
      <c r="A1518" s="2" t="s">
        <v>237</v>
      </c>
      <c r="B1518" s="2" t="s">
        <v>1040</v>
      </c>
      <c r="C1518" s="5" t="s">
        <v>2957</v>
      </c>
      <c r="D1518" s="2" t="s">
        <v>2958</v>
      </c>
    </row>
    <row r="1519" spans="1:4" ht="12.95" customHeight="1" x14ac:dyDescent="0.25">
      <c r="A1519" s="2" t="s">
        <v>237</v>
      </c>
      <c r="B1519" s="2" t="s">
        <v>1040</v>
      </c>
      <c r="C1519" s="5" t="s">
        <v>2959</v>
      </c>
      <c r="D1519" s="2" t="s">
        <v>2960</v>
      </c>
    </row>
    <row r="1520" spans="1:4" ht="12.95" customHeight="1" x14ac:dyDescent="0.25">
      <c r="A1520" s="2" t="s">
        <v>237</v>
      </c>
      <c r="B1520" s="2" t="s">
        <v>1040</v>
      </c>
      <c r="C1520" s="5" t="s">
        <v>2961</v>
      </c>
      <c r="D1520" s="2" t="s">
        <v>2962</v>
      </c>
    </row>
    <row r="1521" spans="1:4" ht="12.95" customHeight="1" x14ac:dyDescent="0.25">
      <c r="A1521" s="2" t="s">
        <v>237</v>
      </c>
      <c r="B1521" s="2" t="s">
        <v>1040</v>
      </c>
      <c r="C1521" s="5" t="s">
        <v>2963</v>
      </c>
      <c r="D1521" s="2" t="s">
        <v>2964</v>
      </c>
    </row>
    <row r="1522" spans="1:4" ht="12.95" customHeight="1" x14ac:dyDescent="0.25">
      <c r="A1522" s="2" t="s">
        <v>237</v>
      </c>
      <c r="B1522" s="2" t="s">
        <v>1040</v>
      </c>
      <c r="C1522" s="5" t="s">
        <v>2965</v>
      </c>
      <c r="D1522" s="2" t="s">
        <v>2966</v>
      </c>
    </row>
    <row r="1523" spans="1:4" ht="12.95" customHeight="1" x14ac:dyDescent="0.25">
      <c r="A1523" s="2" t="s">
        <v>237</v>
      </c>
      <c r="B1523" s="2" t="s">
        <v>1040</v>
      </c>
      <c r="C1523" s="5" t="s">
        <v>2967</v>
      </c>
      <c r="D1523" s="2" t="s">
        <v>2968</v>
      </c>
    </row>
    <row r="1524" spans="1:4" ht="12.95" customHeight="1" x14ac:dyDescent="0.25">
      <c r="A1524" s="2" t="s">
        <v>237</v>
      </c>
      <c r="B1524" s="2" t="s">
        <v>1040</v>
      </c>
      <c r="C1524" s="5" t="s">
        <v>2969</v>
      </c>
      <c r="D1524" s="2" t="s">
        <v>2970</v>
      </c>
    </row>
    <row r="1525" spans="1:4" ht="12.95" customHeight="1" x14ac:dyDescent="0.25">
      <c r="A1525" s="2" t="s">
        <v>237</v>
      </c>
      <c r="B1525" s="2" t="s">
        <v>1040</v>
      </c>
      <c r="C1525" s="5" t="s">
        <v>2971</v>
      </c>
      <c r="D1525" s="2" t="s">
        <v>2972</v>
      </c>
    </row>
    <row r="1526" spans="1:4" ht="12.95" customHeight="1" x14ac:dyDescent="0.25">
      <c r="A1526" s="2" t="s">
        <v>237</v>
      </c>
      <c r="B1526" s="2" t="s">
        <v>1040</v>
      </c>
      <c r="C1526" s="5" t="s">
        <v>2973</v>
      </c>
      <c r="D1526" s="2" t="s">
        <v>2974</v>
      </c>
    </row>
    <row r="1527" spans="1:4" ht="12.95" customHeight="1" x14ac:dyDescent="0.25">
      <c r="A1527" s="2" t="s">
        <v>237</v>
      </c>
      <c r="B1527" s="2" t="s">
        <v>1040</v>
      </c>
      <c r="C1527" s="5" t="s">
        <v>2975</v>
      </c>
      <c r="D1527" s="2" t="s">
        <v>2976</v>
      </c>
    </row>
    <row r="1528" spans="1:4" ht="12.95" customHeight="1" x14ac:dyDescent="0.25">
      <c r="A1528" s="2" t="s">
        <v>237</v>
      </c>
      <c r="B1528" s="2" t="s">
        <v>1040</v>
      </c>
      <c r="C1528" s="5" t="s">
        <v>2977</v>
      </c>
      <c r="D1528" s="2" t="s">
        <v>2978</v>
      </c>
    </row>
    <row r="1529" spans="1:4" ht="12.95" customHeight="1" x14ac:dyDescent="0.25">
      <c r="A1529" s="2" t="s">
        <v>237</v>
      </c>
      <c r="B1529" s="2" t="s">
        <v>1040</v>
      </c>
      <c r="C1529" s="5" t="s">
        <v>2979</v>
      </c>
      <c r="D1529" s="2" t="s">
        <v>2980</v>
      </c>
    </row>
    <row r="1530" spans="1:4" ht="12.95" customHeight="1" x14ac:dyDescent="0.25">
      <c r="A1530" s="2" t="s">
        <v>237</v>
      </c>
      <c r="B1530" s="2" t="s">
        <v>1040</v>
      </c>
      <c r="C1530" s="5" t="s">
        <v>2981</v>
      </c>
      <c r="D1530" s="2" t="s">
        <v>2982</v>
      </c>
    </row>
    <row r="1531" spans="1:4" ht="12.95" customHeight="1" x14ac:dyDescent="0.25">
      <c r="A1531" s="2" t="s">
        <v>237</v>
      </c>
      <c r="B1531" s="2" t="s">
        <v>1040</v>
      </c>
      <c r="C1531" s="5" t="s">
        <v>2983</v>
      </c>
      <c r="D1531" s="2" t="s">
        <v>2984</v>
      </c>
    </row>
    <row r="1532" spans="1:4" ht="12.95" customHeight="1" x14ac:dyDescent="0.25">
      <c r="A1532" s="2" t="s">
        <v>237</v>
      </c>
      <c r="B1532" s="2" t="s">
        <v>1040</v>
      </c>
      <c r="C1532" s="5" t="s">
        <v>2985</v>
      </c>
      <c r="D1532" s="2" t="s">
        <v>2986</v>
      </c>
    </row>
    <row r="1533" spans="1:4" ht="12.95" customHeight="1" x14ac:dyDescent="0.25">
      <c r="A1533" s="2" t="s">
        <v>237</v>
      </c>
      <c r="B1533" s="2" t="s">
        <v>1040</v>
      </c>
      <c r="C1533" s="5" t="s">
        <v>2987</v>
      </c>
      <c r="D1533" s="2" t="s">
        <v>2988</v>
      </c>
    </row>
    <row r="1534" spans="1:4" ht="12.95" customHeight="1" x14ac:dyDescent="0.25">
      <c r="A1534" s="2" t="s">
        <v>237</v>
      </c>
      <c r="B1534" s="2" t="s">
        <v>1040</v>
      </c>
      <c r="C1534" s="5" t="s">
        <v>2989</v>
      </c>
      <c r="D1534" s="2" t="s">
        <v>2990</v>
      </c>
    </row>
    <row r="1535" spans="1:4" ht="12.95" customHeight="1" x14ac:dyDescent="0.25">
      <c r="A1535" s="2" t="s">
        <v>237</v>
      </c>
      <c r="B1535" s="2" t="s">
        <v>1040</v>
      </c>
      <c r="C1535" s="5" t="s">
        <v>2991</v>
      </c>
      <c r="D1535" s="2" t="s">
        <v>2992</v>
      </c>
    </row>
    <row r="1536" spans="1:4" ht="12.95" customHeight="1" x14ac:dyDescent="0.25">
      <c r="A1536" s="2" t="s">
        <v>237</v>
      </c>
      <c r="B1536" s="2" t="s">
        <v>1040</v>
      </c>
      <c r="C1536" s="5" t="s">
        <v>2993</v>
      </c>
      <c r="D1536" s="2" t="s">
        <v>2994</v>
      </c>
    </row>
    <row r="1537" spans="1:4" ht="12.95" customHeight="1" x14ac:dyDescent="0.25">
      <c r="A1537" s="2" t="s">
        <v>237</v>
      </c>
      <c r="B1537" s="2" t="s">
        <v>1040</v>
      </c>
      <c r="C1537" s="5" t="s">
        <v>2995</v>
      </c>
      <c r="D1537" s="2" t="s">
        <v>2996</v>
      </c>
    </row>
    <row r="1538" spans="1:4" ht="12.95" customHeight="1" x14ac:dyDescent="0.25">
      <c r="A1538" s="2" t="s">
        <v>239</v>
      </c>
      <c r="B1538" s="2" t="s">
        <v>1040</v>
      </c>
      <c r="C1538" s="5" t="s">
        <v>996</v>
      </c>
      <c r="D1538" s="2" t="s">
        <v>997</v>
      </c>
    </row>
    <row r="1539" spans="1:4" ht="12.95" customHeight="1" x14ac:dyDescent="0.25">
      <c r="A1539" s="2" t="s">
        <v>239</v>
      </c>
      <c r="B1539" s="2" t="s">
        <v>1040</v>
      </c>
      <c r="C1539" s="5" t="s">
        <v>978</v>
      </c>
      <c r="D1539" s="2" t="s">
        <v>979</v>
      </c>
    </row>
    <row r="1540" spans="1:4" ht="12.95" customHeight="1" x14ac:dyDescent="0.25">
      <c r="A1540" s="2" t="s">
        <v>239</v>
      </c>
      <c r="B1540" s="2" t="s">
        <v>1040</v>
      </c>
      <c r="C1540" s="5" t="s">
        <v>980</v>
      </c>
      <c r="D1540" s="2" t="s">
        <v>981</v>
      </c>
    </row>
    <row r="1541" spans="1:4" ht="12.95" customHeight="1" x14ac:dyDescent="0.25">
      <c r="A1541" s="2" t="s">
        <v>239</v>
      </c>
      <c r="B1541" s="2" t="s">
        <v>1040</v>
      </c>
      <c r="C1541" s="5" t="s">
        <v>984</v>
      </c>
      <c r="D1541" s="2" t="s">
        <v>2997</v>
      </c>
    </row>
    <row r="1542" spans="1:4" ht="12.95" customHeight="1" x14ac:dyDescent="0.25">
      <c r="A1542" s="2" t="s">
        <v>239</v>
      </c>
      <c r="B1542" s="2" t="s">
        <v>1040</v>
      </c>
      <c r="C1542" s="5" t="s">
        <v>986</v>
      </c>
      <c r="D1542" s="2" t="s">
        <v>2998</v>
      </c>
    </row>
    <row r="1543" spans="1:4" ht="12.95" customHeight="1" x14ac:dyDescent="0.25">
      <c r="A1543" s="2" t="s">
        <v>239</v>
      </c>
      <c r="B1543" s="2" t="s">
        <v>1040</v>
      </c>
      <c r="C1543" s="5" t="s">
        <v>988</v>
      </c>
      <c r="D1543" s="2" t="s">
        <v>2999</v>
      </c>
    </row>
    <row r="1544" spans="1:4" ht="12.95" customHeight="1" x14ac:dyDescent="0.25">
      <c r="A1544" s="2" t="s">
        <v>239</v>
      </c>
      <c r="B1544" s="2" t="s">
        <v>1040</v>
      </c>
      <c r="C1544" s="5" t="s">
        <v>990</v>
      </c>
      <c r="D1544" s="2" t="s">
        <v>3000</v>
      </c>
    </row>
    <row r="1545" spans="1:4" ht="12.95" customHeight="1" x14ac:dyDescent="0.25">
      <c r="A1545" s="2" t="s">
        <v>239</v>
      </c>
      <c r="B1545" s="2" t="s">
        <v>1040</v>
      </c>
      <c r="C1545" s="5" t="s">
        <v>992</v>
      </c>
      <c r="D1545" s="2" t="s">
        <v>3001</v>
      </c>
    </row>
    <row r="1546" spans="1:4" ht="12.95" customHeight="1" x14ac:dyDescent="0.25">
      <c r="A1546" s="2" t="s">
        <v>239</v>
      </c>
      <c r="B1546" s="2" t="s">
        <v>1040</v>
      </c>
      <c r="C1546" s="5" t="s">
        <v>994</v>
      </c>
      <c r="D1546" s="2" t="s">
        <v>3002</v>
      </c>
    </row>
    <row r="1547" spans="1:4" ht="12.95" customHeight="1" x14ac:dyDescent="0.25">
      <c r="A1547" s="2" t="s">
        <v>239</v>
      </c>
      <c r="B1547" s="2" t="s">
        <v>1040</v>
      </c>
      <c r="C1547" s="5" t="s">
        <v>1003</v>
      </c>
      <c r="D1547" s="2" t="s">
        <v>3003</v>
      </c>
    </row>
    <row r="1548" spans="1:4" ht="12.95" customHeight="1" x14ac:dyDescent="0.25">
      <c r="A1548" s="2" t="s">
        <v>239</v>
      </c>
      <c r="B1548" s="2" t="s">
        <v>1040</v>
      </c>
      <c r="C1548" s="5" t="s">
        <v>1013</v>
      </c>
      <c r="D1548" s="2" t="s">
        <v>3004</v>
      </c>
    </row>
    <row r="1549" spans="1:4" ht="12.95" customHeight="1" x14ac:dyDescent="0.25">
      <c r="A1549" s="2" t="s">
        <v>239</v>
      </c>
      <c r="B1549" s="2" t="s">
        <v>1040</v>
      </c>
      <c r="C1549" s="5" t="s">
        <v>1015</v>
      </c>
      <c r="D1549" s="2" t="s">
        <v>3005</v>
      </c>
    </row>
    <row r="1550" spans="1:4" ht="12.95" customHeight="1" x14ac:dyDescent="0.25">
      <c r="A1550" s="2" t="s">
        <v>239</v>
      </c>
      <c r="B1550" s="2" t="s">
        <v>1040</v>
      </c>
      <c r="C1550" s="5" t="s">
        <v>1017</v>
      </c>
      <c r="D1550" s="2" t="s">
        <v>3006</v>
      </c>
    </row>
    <row r="1551" spans="1:4" ht="12.95" customHeight="1" x14ac:dyDescent="0.25">
      <c r="A1551" s="2" t="s">
        <v>239</v>
      </c>
      <c r="B1551" s="2" t="s">
        <v>1040</v>
      </c>
      <c r="C1551" s="5" t="s">
        <v>1019</v>
      </c>
      <c r="D1551" s="2" t="s">
        <v>3007</v>
      </c>
    </row>
    <row r="1552" spans="1:4" ht="12.95" customHeight="1" x14ac:dyDescent="0.25">
      <c r="A1552" s="2" t="s">
        <v>242</v>
      </c>
      <c r="B1552" s="2" t="s">
        <v>1040</v>
      </c>
      <c r="C1552" s="5" t="s">
        <v>978</v>
      </c>
      <c r="D1552" s="2" t="s">
        <v>3008</v>
      </c>
    </row>
    <row r="1553" spans="1:4" ht="12.95" customHeight="1" x14ac:dyDescent="0.25">
      <c r="A1553" s="2" t="s">
        <v>242</v>
      </c>
      <c r="B1553" s="2" t="s">
        <v>1040</v>
      </c>
      <c r="C1553" s="5" t="s">
        <v>980</v>
      </c>
      <c r="D1553" s="2" t="s">
        <v>3009</v>
      </c>
    </row>
    <row r="1554" spans="1:4" ht="12.95" customHeight="1" x14ac:dyDescent="0.25">
      <c r="A1554" s="2" t="s">
        <v>242</v>
      </c>
      <c r="B1554" s="2" t="s">
        <v>1040</v>
      </c>
      <c r="C1554" s="5" t="s">
        <v>984</v>
      </c>
      <c r="D1554" s="2" t="s">
        <v>1061</v>
      </c>
    </row>
    <row r="1555" spans="1:4" ht="12.95" customHeight="1" x14ac:dyDescent="0.25">
      <c r="A1555" s="2" t="s">
        <v>242</v>
      </c>
      <c r="B1555" s="2" t="s">
        <v>1040</v>
      </c>
      <c r="C1555" s="5" t="s">
        <v>986</v>
      </c>
      <c r="D1555" s="2" t="s">
        <v>1062</v>
      </c>
    </row>
    <row r="1556" spans="1:4" ht="12.95" customHeight="1" x14ac:dyDescent="0.25">
      <c r="A1556" s="2" t="s">
        <v>244</v>
      </c>
      <c r="B1556" s="2" t="s">
        <v>1154</v>
      </c>
      <c r="C1556" s="5" t="s">
        <v>984</v>
      </c>
      <c r="D1556" s="2" t="s">
        <v>1061</v>
      </c>
    </row>
    <row r="1557" spans="1:4" ht="12.95" customHeight="1" x14ac:dyDescent="0.25">
      <c r="A1557" s="2" t="s">
        <v>244</v>
      </c>
      <c r="B1557" s="2" t="s">
        <v>1154</v>
      </c>
      <c r="C1557" s="5" t="s">
        <v>986</v>
      </c>
      <c r="D1557" s="2" t="s">
        <v>1062</v>
      </c>
    </row>
    <row r="1558" spans="1:4" ht="12.95" customHeight="1" x14ac:dyDescent="0.25">
      <c r="A1558" s="2" t="s">
        <v>246</v>
      </c>
      <c r="B1558" s="2" t="s">
        <v>1154</v>
      </c>
      <c r="C1558" s="5" t="s">
        <v>996</v>
      </c>
      <c r="D1558" s="2" t="s">
        <v>997</v>
      </c>
    </row>
    <row r="1559" spans="1:4" ht="12.95" customHeight="1" x14ac:dyDescent="0.25">
      <c r="A1559" s="2" t="s">
        <v>248</v>
      </c>
      <c r="B1559" s="2" t="s">
        <v>1040</v>
      </c>
      <c r="C1559" s="5" t="s">
        <v>996</v>
      </c>
      <c r="D1559" s="2" t="s">
        <v>997</v>
      </c>
    </row>
    <row r="1560" spans="1:4" ht="12.95" customHeight="1" x14ac:dyDescent="0.25">
      <c r="A1560" s="2" t="s">
        <v>248</v>
      </c>
      <c r="B1560" s="2" t="s">
        <v>1040</v>
      </c>
      <c r="C1560" s="5" t="s">
        <v>978</v>
      </c>
      <c r="D1560" s="2" t="s">
        <v>3010</v>
      </c>
    </row>
    <row r="1561" spans="1:4" ht="12.95" customHeight="1" x14ac:dyDescent="0.25">
      <c r="A1561" s="2" t="s">
        <v>248</v>
      </c>
      <c r="B1561" s="2" t="s">
        <v>1040</v>
      </c>
      <c r="C1561" s="5" t="s">
        <v>980</v>
      </c>
      <c r="D1561" s="2" t="s">
        <v>3009</v>
      </c>
    </row>
    <row r="1562" spans="1:4" ht="12.95" customHeight="1" x14ac:dyDescent="0.25">
      <c r="A1562" s="2" t="s">
        <v>248</v>
      </c>
      <c r="B1562" s="2" t="s">
        <v>1040</v>
      </c>
      <c r="C1562" s="5" t="s">
        <v>984</v>
      </c>
      <c r="D1562" s="2" t="s">
        <v>3011</v>
      </c>
    </row>
    <row r="1563" spans="1:4" ht="12.95" customHeight="1" x14ac:dyDescent="0.25">
      <c r="A1563" s="2" t="s">
        <v>248</v>
      </c>
      <c r="B1563" s="2" t="s">
        <v>1040</v>
      </c>
      <c r="C1563" s="5" t="s">
        <v>986</v>
      </c>
      <c r="D1563" s="2" t="s">
        <v>3012</v>
      </c>
    </row>
    <row r="1564" spans="1:4" ht="12.95" customHeight="1" x14ac:dyDescent="0.25">
      <c r="A1564" s="2" t="s">
        <v>248</v>
      </c>
      <c r="B1564" s="2" t="s">
        <v>1040</v>
      </c>
      <c r="C1564" s="5" t="s">
        <v>988</v>
      </c>
      <c r="D1564" s="2" t="s">
        <v>3013</v>
      </c>
    </row>
    <row r="1565" spans="1:4" ht="12.95" customHeight="1" x14ac:dyDescent="0.25">
      <c r="A1565" s="2" t="s">
        <v>248</v>
      </c>
      <c r="B1565" s="2" t="s">
        <v>1040</v>
      </c>
      <c r="C1565" s="5" t="s">
        <v>990</v>
      </c>
      <c r="D1565" s="2" t="s">
        <v>3014</v>
      </c>
    </row>
    <row r="1566" spans="1:4" ht="12.95" customHeight="1" x14ac:dyDescent="0.25">
      <c r="A1566" s="2" t="s">
        <v>248</v>
      </c>
      <c r="B1566" s="2" t="s">
        <v>1040</v>
      </c>
      <c r="C1566" s="5" t="s">
        <v>992</v>
      </c>
      <c r="D1566" s="2" t="s">
        <v>3015</v>
      </c>
    </row>
    <row r="1567" spans="1:4" ht="12.95" customHeight="1" x14ac:dyDescent="0.25">
      <c r="A1567" s="2" t="s">
        <v>248</v>
      </c>
      <c r="B1567" s="2" t="s">
        <v>1040</v>
      </c>
      <c r="C1567" s="5" t="s">
        <v>994</v>
      </c>
      <c r="D1567" s="2" t="s">
        <v>3016</v>
      </c>
    </row>
    <row r="1568" spans="1:4" ht="12.95" customHeight="1" x14ac:dyDescent="0.25">
      <c r="A1568" s="2" t="s">
        <v>248</v>
      </c>
      <c r="B1568" s="2" t="s">
        <v>1040</v>
      </c>
      <c r="C1568" s="5" t="s">
        <v>1005</v>
      </c>
      <c r="D1568" s="2" t="s">
        <v>3017</v>
      </c>
    </row>
    <row r="1569" spans="1:4" ht="12.95" customHeight="1" x14ac:dyDescent="0.25">
      <c r="A1569" s="2" t="s">
        <v>252</v>
      </c>
      <c r="B1569" s="2" t="s">
        <v>1040</v>
      </c>
      <c r="C1569" s="5" t="s">
        <v>996</v>
      </c>
      <c r="D1569" s="2" t="s">
        <v>997</v>
      </c>
    </row>
    <row r="1570" spans="1:4" ht="12.95" customHeight="1" x14ac:dyDescent="0.25">
      <c r="A1570" s="2" t="s">
        <v>252</v>
      </c>
      <c r="B1570" s="2" t="s">
        <v>1040</v>
      </c>
      <c r="C1570" s="5" t="s">
        <v>984</v>
      </c>
      <c r="D1570" s="2" t="s">
        <v>3018</v>
      </c>
    </row>
    <row r="1571" spans="1:4" ht="12.95" customHeight="1" x14ac:dyDescent="0.25">
      <c r="A1571" s="2" t="s">
        <v>252</v>
      </c>
      <c r="B1571" s="2" t="s">
        <v>1040</v>
      </c>
      <c r="C1571" s="5" t="s">
        <v>986</v>
      </c>
      <c r="D1571" s="2" t="s">
        <v>3019</v>
      </c>
    </row>
    <row r="1572" spans="1:4" ht="12.95" customHeight="1" x14ac:dyDescent="0.25">
      <c r="A1572" s="2" t="s">
        <v>252</v>
      </c>
      <c r="B1572" s="2" t="s">
        <v>1040</v>
      </c>
      <c r="C1572" s="5" t="s">
        <v>988</v>
      </c>
      <c r="D1572" s="2" t="s">
        <v>3020</v>
      </c>
    </row>
    <row r="1573" spans="1:4" ht="12.95" customHeight="1" x14ac:dyDescent="0.25">
      <c r="A1573" s="2" t="s">
        <v>252</v>
      </c>
      <c r="B1573" s="2" t="s">
        <v>1040</v>
      </c>
      <c r="C1573" s="5" t="s">
        <v>990</v>
      </c>
      <c r="D1573" s="2" t="s">
        <v>3021</v>
      </c>
    </row>
    <row r="1574" spans="1:4" ht="12.95" customHeight="1" x14ac:dyDescent="0.25">
      <c r="A1574" s="2" t="s">
        <v>252</v>
      </c>
      <c r="B1574" s="2" t="s">
        <v>1040</v>
      </c>
      <c r="C1574" s="5" t="s">
        <v>992</v>
      </c>
      <c r="D1574" s="2" t="s">
        <v>3022</v>
      </c>
    </row>
    <row r="1575" spans="1:4" ht="12.95" customHeight="1" x14ac:dyDescent="0.25">
      <c r="A1575" s="2" t="s">
        <v>252</v>
      </c>
      <c r="B1575" s="2" t="s">
        <v>1040</v>
      </c>
      <c r="C1575" s="5" t="s">
        <v>994</v>
      </c>
      <c r="D1575" s="2" t="s">
        <v>3023</v>
      </c>
    </row>
    <row r="1576" spans="1:4" ht="12.95" customHeight="1" x14ac:dyDescent="0.25">
      <c r="A1576" s="2" t="s">
        <v>252</v>
      </c>
      <c r="B1576" s="2" t="s">
        <v>1040</v>
      </c>
      <c r="C1576" s="5" t="s">
        <v>1003</v>
      </c>
      <c r="D1576" s="2" t="s">
        <v>3024</v>
      </c>
    </row>
    <row r="1577" spans="1:4" ht="12.95" customHeight="1" x14ac:dyDescent="0.25">
      <c r="A1577" s="2" t="s">
        <v>252</v>
      </c>
      <c r="B1577" s="2" t="s">
        <v>1040</v>
      </c>
      <c r="C1577" s="5" t="s">
        <v>1013</v>
      </c>
      <c r="D1577" s="2" t="s">
        <v>3025</v>
      </c>
    </row>
    <row r="1578" spans="1:4" ht="12.95" customHeight="1" x14ac:dyDescent="0.25">
      <c r="A1578" s="2" t="s">
        <v>252</v>
      </c>
      <c r="B1578" s="2" t="s">
        <v>1040</v>
      </c>
      <c r="C1578" s="5" t="s">
        <v>1015</v>
      </c>
      <c r="D1578" s="2" t="s">
        <v>3026</v>
      </c>
    </row>
    <row r="1579" spans="1:4" ht="12.95" customHeight="1" x14ac:dyDescent="0.25">
      <c r="A1579" s="2" t="s">
        <v>252</v>
      </c>
      <c r="B1579" s="2" t="s">
        <v>1040</v>
      </c>
      <c r="C1579" s="5" t="s">
        <v>1017</v>
      </c>
      <c r="D1579" s="2" t="s">
        <v>3027</v>
      </c>
    </row>
    <row r="1580" spans="1:4" ht="12.95" customHeight="1" x14ac:dyDescent="0.25">
      <c r="A1580" s="2" t="s">
        <v>252</v>
      </c>
      <c r="B1580" s="2" t="s">
        <v>1040</v>
      </c>
      <c r="C1580" s="5" t="s">
        <v>1019</v>
      </c>
      <c r="D1580" s="2" t="s">
        <v>3028</v>
      </c>
    </row>
    <row r="1581" spans="1:4" ht="12.95" customHeight="1" x14ac:dyDescent="0.25">
      <c r="A1581" s="2" t="s">
        <v>252</v>
      </c>
      <c r="B1581" s="2" t="s">
        <v>1040</v>
      </c>
      <c r="C1581" s="5" t="s">
        <v>1021</v>
      </c>
      <c r="D1581" s="2" t="s">
        <v>3029</v>
      </c>
    </row>
    <row r="1582" spans="1:4" ht="12.95" customHeight="1" x14ac:dyDescent="0.25">
      <c r="A1582" s="2" t="s">
        <v>252</v>
      </c>
      <c r="B1582" s="2" t="s">
        <v>1040</v>
      </c>
      <c r="C1582" s="5" t="s">
        <v>1023</v>
      </c>
      <c r="D1582" s="2" t="s">
        <v>3030</v>
      </c>
    </row>
    <row r="1583" spans="1:4" ht="12.95" customHeight="1" x14ac:dyDescent="0.25">
      <c r="A1583" s="2" t="s">
        <v>252</v>
      </c>
      <c r="B1583" s="2" t="s">
        <v>1040</v>
      </c>
      <c r="C1583" s="5" t="s">
        <v>1025</v>
      </c>
      <c r="D1583" s="2" t="s">
        <v>3031</v>
      </c>
    </row>
    <row r="1584" spans="1:4" ht="12.95" customHeight="1" x14ac:dyDescent="0.25">
      <c r="A1584" s="2" t="s">
        <v>252</v>
      </c>
      <c r="B1584" s="2" t="s">
        <v>1040</v>
      </c>
      <c r="C1584" s="5" t="s">
        <v>1027</v>
      </c>
      <c r="D1584" s="2" t="s">
        <v>3032</v>
      </c>
    </row>
    <row r="1585" spans="1:4" ht="12.95" customHeight="1" x14ac:dyDescent="0.25">
      <c r="A1585" s="2" t="s">
        <v>260</v>
      </c>
      <c r="B1585" s="2" t="s">
        <v>1040</v>
      </c>
      <c r="C1585" s="5" t="s">
        <v>984</v>
      </c>
      <c r="D1585" s="2" t="s">
        <v>3033</v>
      </c>
    </row>
    <row r="1586" spans="1:4" ht="12.95" customHeight="1" x14ac:dyDescent="0.25">
      <c r="A1586" s="2" t="s">
        <v>260</v>
      </c>
      <c r="B1586" s="2" t="s">
        <v>1040</v>
      </c>
      <c r="C1586" s="5" t="s">
        <v>986</v>
      </c>
      <c r="D1586" s="2" t="s">
        <v>3034</v>
      </c>
    </row>
    <row r="1587" spans="1:4" ht="12.95" customHeight="1" x14ac:dyDescent="0.25">
      <c r="A1587" s="2" t="s">
        <v>260</v>
      </c>
      <c r="B1587" s="2" t="s">
        <v>1040</v>
      </c>
      <c r="C1587" s="5" t="s">
        <v>990</v>
      </c>
      <c r="D1587" s="2" t="s">
        <v>3035</v>
      </c>
    </row>
    <row r="1588" spans="1:4" ht="12.95" customHeight="1" x14ac:dyDescent="0.25">
      <c r="A1588" s="2" t="s">
        <v>260</v>
      </c>
      <c r="B1588" s="2" t="s">
        <v>1040</v>
      </c>
      <c r="C1588" s="5" t="s">
        <v>992</v>
      </c>
      <c r="D1588" s="2" t="s">
        <v>3036</v>
      </c>
    </row>
    <row r="1589" spans="1:4" ht="12.95" customHeight="1" x14ac:dyDescent="0.25">
      <c r="A1589" s="2" t="s">
        <v>260</v>
      </c>
      <c r="B1589" s="2" t="s">
        <v>1040</v>
      </c>
      <c r="C1589" s="5" t="s">
        <v>994</v>
      </c>
      <c r="D1589" s="2" t="s">
        <v>3037</v>
      </c>
    </row>
    <row r="1590" spans="1:4" ht="12.95" customHeight="1" x14ac:dyDescent="0.25">
      <c r="A1590" s="2" t="s">
        <v>260</v>
      </c>
      <c r="B1590" s="2" t="s">
        <v>1040</v>
      </c>
      <c r="C1590" s="5" t="s">
        <v>1013</v>
      </c>
      <c r="D1590" s="2" t="s">
        <v>3038</v>
      </c>
    </row>
    <row r="1591" spans="1:4" ht="12.95" customHeight="1" x14ac:dyDescent="0.25">
      <c r="A1591" s="2" t="s">
        <v>260</v>
      </c>
      <c r="B1591" s="2" t="s">
        <v>1040</v>
      </c>
      <c r="C1591" s="5" t="s">
        <v>1015</v>
      </c>
      <c r="D1591" s="2" t="s">
        <v>3039</v>
      </c>
    </row>
    <row r="1592" spans="1:4" ht="12.95" customHeight="1" x14ac:dyDescent="0.25">
      <c r="A1592" s="2" t="s">
        <v>260</v>
      </c>
      <c r="B1592" s="2" t="s">
        <v>1040</v>
      </c>
      <c r="C1592" s="5" t="s">
        <v>1017</v>
      </c>
      <c r="D1592" s="2" t="s">
        <v>3040</v>
      </c>
    </row>
    <row r="1593" spans="1:4" ht="12.95" customHeight="1" x14ac:dyDescent="0.25">
      <c r="A1593" s="2" t="s">
        <v>260</v>
      </c>
      <c r="B1593" s="2" t="s">
        <v>1040</v>
      </c>
      <c r="C1593" s="5" t="s">
        <v>1019</v>
      </c>
      <c r="D1593" s="2" t="s">
        <v>3041</v>
      </c>
    </row>
    <row r="1594" spans="1:4" ht="12.95" customHeight="1" x14ac:dyDescent="0.25">
      <c r="A1594" s="2" t="s">
        <v>260</v>
      </c>
      <c r="B1594" s="2" t="s">
        <v>1040</v>
      </c>
      <c r="C1594" s="5" t="s">
        <v>1021</v>
      </c>
      <c r="D1594" s="2" t="s">
        <v>3042</v>
      </c>
    </row>
    <row r="1595" spans="1:4" ht="12.95" customHeight="1" x14ac:dyDescent="0.25">
      <c r="A1595" s="2" t="s">
        <v>260</v>
      </c>
      <c r="B1595" s="2" t="s">
        <v>1040</v>
      </c>
      <c r="C1595" s="5" t="s">
        <v>1023</v>
      </c>
      <c r="D1595" s="2" t="s">
        <v>3043</v>
      </c>
    </row>
    <row r="1596" spans="1:4" ht="12.95" customHeight="1" x14ac:dyDescent="0.25">
      <c r="A1596" s="2" t="s">
        <v>260</v>
      </c>
      <c r="B1596" s="2" t="s">
        <v>1040</v>
      </c>
      <c r="C1596" s="5" t="s">
        <v>1027</v>
      </c>
      <c r="D1596" s="2" t="s">
        <v>3044</v>
      </c>
    </row>
    <row r="1597" spans="1:4" ht="12.95" customHeight="1" x14ac:dyDescent="0.25">
      <c r="A1597" s="2" t="s">
        <v>260</v>
      </c>
      <c r="B1597" s="2" t="s">
        <v>1040</v>
      </c>
      <c r="C1597" s="5" t="s">
        <v>1029</v>
      </c>
      <c r="D1597" s="2" t="s">
        <v>3045</v>
      </c>
    </row>
    <row r="1598" spans="1:4" ht="12.95" customHeight="1" x14ac:dyDescent="0.25">
      <c r="A1598" s="2" t="s">
        <v>260</v>
      </c>
      <c r="B1598" s="2" t="s">
        <v>1040</v>
      </c>
      <c r="C1598" s="5" t="s">
        <v>1031</v>
      </c>
      <c r="D1598" s="2" t="s">
        <v>3046</v>
      </c>
    </row>
    <row r="1599" spans="1:4" ht="12.95" customHeight="1" x14ac:dyDescent="0.25">
      <c r="A1599" s="2" t="s">
        <v>260</v>
      </c>
      <c r="B1599" s="2" t="s">
        <v>1040</v>
      </c>
      <c r="C1599" s="5" t="s">
        <v>1033</v>
      </c>
      <c r="D1599" s="2" t="s">
        <v>3047</v>
      </c>
    </row>
    <row r="1600" spans="1:4" ht="12.95" customHeight="1" x14ac:dyDescent="0.25">
      <c r="A1600" s="2" t="s">
        <v>260</v>
      </c>
      <c r="B1600" s="2" t="s">
        <v>1040</v>
      </c>
      <c r="C1600" s="5" t="s">
        <v>1035</v>
      </c>
      <c r="D1600" s="2" t="s">
        <v>3048</v>
      </c>
    </row>
    <row r="1601" spans="1:4" ht="12.95" customHeight="1" x14ac:dyDescent="0.25">
      <c r="A1601" s="2" t="s">
        <v>260</v>
      </c>
      <c r="B1601" s="2" t="s">
        <v>1040</v>
      </c>
      <c r="C1601" s="5" t="s">
        <v>1177</v>
      </c>
      <c r="D1601" s="2" t="s">
        <v>3049</v>
      </c>
    </row>
    <row r="1602" spans="1:4" ht="12.95" customHeight="1" x14ac:dyDescent="0.25">
      <c r="A1602" s="2" t="s">
        <v>260</v>
      </c>
      <c r="B1602" s="2" t="s">
        <v>1040</v>
      </c>
      <c r="C1602" s="5" t="s">
        <v>1069</v>
      </c>
      <c r="D1602" s="2" t="s">
        <v>3050</v>
      </c>
    </row>
    <row r="1603" spans="1:4" ht="12.95" customHeight="1" x14ac:dyDescent="0.25">
      <c r="A1603" s="2" t="s">
        <v>260</v>
      </c>
      <c r="B1603" s="2" t="s">
        <v>1040</v>
      </c>
      <c r="C1603" s="5" t="s">
        <v>1071</v>
      </c>
      <c r="D1603" s="2" t="s">
        <v>3051</v>
      </c>
    </row>
    <row r="1604" spans="1:4" ht="12.95" customHeight="1" x14ac:dyDescent="0.25">
      <c r="A1604" s="2" t="s">
        <v>260</v>
      </c>
      <c r="B1604" s="2" t="s">
        <v>1040</v>
      </c>
      <c r="C1604" s="5" t="s">
        <v>1073</v>
      </c>
      <c r="D1604" s="2" t="s">
        <v>3052</v>
      </c>
    </row>
    <row r="1605" spans="1:4" ht="12.95" customHeight="1" x14ac:dyDescent="0.25">
      <c r="A1605" s="2" t="s">
        <v>260</v>
      </c>
      <c r="B1605" s="2" t="s">
        <v>1040</v>
      </c>
      <c r="C1605" s="5" t="s">
        <v>1075</v>
      </c>
      <c r="D1605" s="2" t="s">
        <v>3053</v>
      </c>
    </row>
    <row r="1606" spans="1:4" ht="12.95" customHeight="1" x14ac:dyDescent="0.25">
      <c r="A1606" s="2" t="s">
        <v>260</v>
      </c>
      <c r="B1606" s="2" t="s">
        <v>1040</v>
      </c>
      <c r="C1606" s="5" t="s">
        <v>3054</v>
      </c>
      <c r="D1606" s="2" t="s">
        <v>3055</v>
      </c>
    </row>
    <row r="1607" spans="1:4" ht="12.95" customHeight="1" x14ac:dyDescent="0.25">
      <c r="A1607" s="2" t="s">
        <v>260</v>
      </c>
      <c r="B1607" s="2" t="s">
        <v>1040</v>
      </c>
      <c r="C1607" s="5" t="s">
        <v>3056</v>
      </c>
      <c r="D1607" s="2" t="s">
        <v>3057</v>
      </c>
    </row>
    <row r="1608" spans="1:4" ht="12.95" customHeight="1" x14ac:dyDescent="0.25">
      <c r="A1608" s="2" t="s">
        <v>260</v>
      </c>
      <c r="B1608" s="2" t="s">
        <v>1040</v>
      </c>
      <c r="C1608" s="5" t="s">
        <v>3058</v>
      </c>
      <c r="D1608" s="2" t="s">
        <v>3059</v>
      </c>
    </row>
    <row r="1609" spans="1:4" ht="12.95" customHeight="1" x14ac:dyDescent="0.25">
      <c r="A1609" s="2" t="s">
        <v>260</v>
      </c>
      <c r="B1609" s="2" t="s">
        <v>1040</v>
      </c>
      <c r="C1609" s="5" t="s">
        <v>3060</v>
      </c>
      <c r="D1609" s="2" t="s">
        <v>3061</v>
      </c>
    </row>
    <row r="1610" spans="1:4" ht="12.95" customHeight="1" x14ac:dyDescent="0.25">
      <c r="A1610" s="2" t="s">
        <v>260</v>
      </c>
      <c r="B1610" s="2" t="s">
        <v>1040</v>
      </c>
      <c r="C1610" s="5" t="s">
        <v>3062</v>
      </c>
      <c r="D1610" s="2" t="s">
        <v>3063</v>
      </c>
    </row>
    <row r="1611" spans="1:4" ht="12.95" customHeight="1" x14ac:dyDescent="0.25">
      <c r="A1611" s="2" t="s">
        <v>260</v>
      </c>
      <c r="B1611" s="2" t="s">
        <v>1040</v>
      </c>
      <c r="C1611" s="5" t="s">
        <v>1179</v>
      </c>
      <c r="D1611" s="2" t="s">
        <v>3064</v>
      </c>
    </row>
    <row r="1612" spans="1:4" ht="12.95" customHeight="1" x14ac:dyDescent="0.25">
      <c r="A1612" s="2" t="s">
        <v>260</v>
      </c>
      <c r="B1612" s="2" t="s">
        <v>1040</v>
      </c>
      <c r="C1612" s="5" t="s">
        <v>1077</v>
      </c>
      <c r="D1612" s="2" t="s">
        <v>3065</v>
      </c>
    </row>
    <row r="1613" spans="1:4" ht="12.95" customHeight="1" x14ac:dyDescent="0.25">
      <c r="A1613" s="2" t="s">
        <v>260</v>
      </c>
      <c r="B1613" s="2" t="s">
        <v>1040</v>
      </c>
      <c r="C1613" s="5" t="s">
        <v>1079</v>
      </c>
      <c r="D1613" s="2" t="s">
        <v>3066</v>
      </c>
    </row>
    <row r="1614" spans="1:4" ht="12.95" customHeight="1" x14ac:dyDescent="0.25">
      <c r="A1614" s="2" t="s">
        <v>260</v>
      </c>
      <c r="B1614" s="2" t="s">
        <v>1040</v>
      </c>
      <c r="C1614" s="5" t="s">
        <v>1081</v>
      </c>
      <c r="D1614" s="2" t="s">
        <v>3067</v>
      </c>
    </row>
    <row r="1615" spans="1:4" ht="12.95" customHeight="1" x14ac:dyDescent="0.25">
      <c r="A1615" s="2" t="s">
        <v>260</v>
      </c>
      <c r="B1615" s="2" t="s">
        <v>1040</v>
      </c>
      <c r="C1615" s="5" t="s">
        <v>1083</v>
      </c>
      <c r="D1615" s="2" t="s">
        <v>3068</v>
      </c>
    </row>
    <row r="1616" spans="1:4" ht="12.95" customHeight="1" x14ac:dyDescent="0.25">
      <c r="A1616" s="2" t="s">
        <v>260</v>
      </c>
      <c r="B1616" s="2" t="s">
        <v>1040</v>
      </c>
      <c r="C1616" s="5" t="s">
        <v>3069</v>
      </c>
      <c r="D1616" s="2" t="s">
        <v>3070</v>
      </c>
    </row>
    <row r="1617" spans="1:4" ht="12.95" customHeight="1" x14ac:dyDescent="0.25">
      <c r="A1617" s="2" t="s">
        <v>260</v>
      </c>
      <c r="B1617" s="2" t="s">
        <v>1040</v>
      </c>
      <c r="C1617" s="5" t="s">
        <v>3071</v>
      </c>
      <c r="D1617" s="2" t="s">
        <v>3072</v>
      </c>
    </row>
    <row r="1618" spans="1:4" ht="12.95" customHeight="1" x14ac:dyDescent="0.25">
      <c r="A1618" s="2" t="s">
        <v>260</v>
      </c>
      <c r="B1618" s="2" t="s">
        <v>1040</v>
      </c>
      <c r="C1618" s="5" t="s">
        <v>3073</v>
      </c>
      <c r="D1618" s="2" t="s">
        <v>3074</v>
      </c>
    </row>
    <row r="1619" spans="1:4" ht="12.95" customHeight="1" x14ac:dyDescent="0.25">
      <c r="A1619" s="2" t="s">
        <v>260</v>
      </c>
      <c r="B1619" s="2" t="s">
        <v>1040</v>
      </c>
      <c r="C1619" s="5" t="s">
        <v>3075</v>
      </c>
      <c r="D1619" s="2" t="s">
        <v>3076</v>
      </c>
    </row>
    <row r="1620" spans="1:4" ht="12.95" customHeight="1" x14ac:dyDescent="0.25">
      <c r="A1620" s="2" t="s">
        <v>260</v>
      </c>
      <c r="B1620" s="2" t="s">
        <v>1040</v>
      </c>
      <c r="C1620" s="5" t="s">
        <v>3077</v>
      </c>
      <c r="D1620" s="2" t="s">
        <v>3078</v>
      </c>
    </row>
    <row r="1621" spans="1:4" ht="12.95" customHeight="1" x14ac:dyDescent="0.25">
      <c r="A1621" s="2" t="s">
        <v>260</v>
      </c>
      <c r="B1621" s="2" t="s">
        <v>1040</v>
      </c>
      <c r="C1621" s="5" t="s">
        <v>1181</v>
      </c>
      <c r="D1621" s="2" t="s">
        <v>3079</v>
      </c>
    </row>
    <row r="1622" spans="1:4" ht="12.95" customHeight="1" x14ac:dyDescent="0.25">
      <c r="A1622" s="2" t="s">
        <v>260</v>
      </c>
      <c r="B1622" s="2" t="s">
        <v>1040</v>
      </c>
      <c r="C1622" s="5" t="s">
        <v>1085</v>
      </c>
      <c r="D1622" s="2" t="s">
        <v>3080</v>
      </c>
    </row>
    <row r="1623" spans="1:4" ht="12.95" customHeight="1" x14ac:dyDescent="0.25">
      <c r="A1623" s="2" t="s">
        <v>260</v>
      </c>
      <c r="B1623" s="2" t="s">
        <v>1040</v>
      </c>
      <c r="C1623" s="5" t="s">
        <v>1087</v>
      </c>
      <c r="D1623" s="2" t="s">
        <v>3081</v>
      </c>
    </row>
    <row r="1624" spans="1:4" ht="12.95" customHeight="1" x14ac:dyDescent="0.25">
      <c r="A1624" s="2" t="s">
        <v>260</v>
      </c>
      <c r="B1624" s="2" t="s">
        <v>1040</v>
      </c>
      <c r="C1624" s="5" t="s">
        <v>1091</v>
      </c>
      <c r="D1624" s="2" t="s">
        <v>3082</v>
      </c>
    </row>
    <row r="1625" spans="1:4" ht="12.95" customHeight="1" x14ac:dyDescent="0.25">
      <c r="A1625" s="2" t="s">
        <v>260</v>
      </c>
      <c r="B1625" s="2" t="s">
        <v>1040</v>
      </c>
      <c r="C1625" s="5" t="s">
        <v>3083</v>
      </c>
      <c r="D1625" s="2" t="s">
        <v>3084</v>
      </c>
    </row>
    <row r="1626" spans="1:4" ht="12.95" customHeight="1" x14ac:dyDescent="0.25">
      <c r="A1626" s="2" t="s">
        <v>260</v>
      </c>
      <c r="B1626" s="2" t="s">
        <v>1040</v>
      </c>
      <c r="C1626" s="5" t="s">
        <v>3085</v>
      </c>
      <c r="D1626" s="2" t="s">
        <v>3086</v>
      </c>
    </row>
    <row r="1627" spans="1:4" ht="12.95" customHeight="1" x14ac:dyDescent="0.25">
      <c r="A1627" s="2" t="s">
        <v>260</v>
      </c>
      <c r="B1627" s="2" t="s">
        <v>1040</v>
      </c>
      <c r="C1627" s="5" t="s">
        <v>3087</v>
      </c>
      <c r="D1627" s="2" t="s">
        <v>3088</v>
      </c>
    </row>
    <row r="1628" spans="1:4" ht="12.95" customHeight="1" x14ac:dyDescent="0.25">
      <c r="A1628" s="2" t="s">
        <v>260</v>
      </c>
      <c r="B1628" s="2" t="s">
        <v>1040</v>
      </c>
      <c r="C1628" s="5" t="s">
        <v>3089</v>
      </c>
      <c r="D1628" s="2" t="s">
        <v>3090</v>
      </c>
    </row>
    <row r="1629" spans="1:4" ht="12.95" customHeight="1" x14ac:dyDescent="0.25">
      <c r="A1629" s="2" t="s">
        <v>260</v>
      </c>
      <c r="B1629" s="2" t="s">
        <v>1040</v>
      </c>
      <c r="C1629" s="5" t="s">
        <v>3091</v>
      </c>
      <c r="D1629" s="2" t="s">
        <v>3092</v>
      </c>
    </row>
    <row r="1630" spans="1:4" ht="12.95" customHeight="1" x14ac:dyDescent="0.25">
      <c r="A1630" s="2" t="s">
        <v>260</v>
      </c>
      <c r="B1630" s="2" t="s">
        <v>1040</v>
      </c>
      <c r="C1630" s="5" t="s">
        <v>1183</v>
      </c>
      <c r="D1630" s="2" t="s">
        <v>3093</v>
      </c>
    </row>
    <row r="1631" spans="1:4" ht="12.95" customHeight="1" x14ac:dyDescent="0.25">
      <c r="A1631" s="2" t="s">
        <v>260</v>
      </c>
      <c r="B1631" s="2" t="s">
        <v>1040</v>
      </c>
      <c r="C1631" s="5" t="s">
        <v>1093</v>
      </c>
      <c r="D1631" s="2" t="s">
        <v>3094</v>
      </c>
    </row>
    <row r="1632" spans="1:4" ht="12.95" customHeight="1" x14ac:dyDescent="0.25">
      <c r="A1632" s="2" t="s">
        <v>260</v>
      </c>
      <c r="B1632" s="2" t="s">
        <v>1040</v>
      </c>
      <c r="C1632" s="5" t="s">
        <v>1097</v>
      </c>
      <c r="D1632" s="2" t="s">
        <v>3095</v>
      </c>
    </row>
    <row r="1633" spans="1:4" ht="12.95" customHeight="1" x14ac:dyDescent="0.25">
      <c r="A1633" s="2" t="s">
        <v>260</v>
      </c>
      <c r="B1633" s="2" t="s">
        <v>1040</v>
      </c>
      <c r="C1633" s="5" t="s">
        <v>1099</v>
      </c>
      <c r="D1633" s="2" t="s">
        <v>3096</v>
      </c>
    </row>
    <row r="1634" spans="1:4" ht="12.95" customHeight="1" x14ac:dyDescent="0.25">
      <c r="A1634" s="2" t="s">
        <v>260</v>
      </c>
      <c r="B1634" s="2" t="s">
        <v>1040</v>
      </c>
      <c r="C1634" s="5" t="s">
        <v>3097</v>
      </c>
      <c r="D1634" s="2" t="s">
        <v>3098</v>
      </c>
    </row>
    <row r="1635" spans="1:4" ht="12.95" customHeight="1" x14ac:dyDescent="0.25">
      <c r="A1635" s="2" t="s">
        <v>260</v>
      </c>
      <c r="B1635" s="2" t="s">
        <v>1040</v>
      </c>
      <c r="C1635" s="5" t="s">
        <v>3099</v>
      </c>
      <c r="D1635" s="2" t="s">
        <v>3100</v>
      </c>
    </row>
    <row r="1636" spans="1:4" ht="12.95" customHeight="1" x14ac:dyDescent="0.25">
      <c r="A1636" s="2" t="s">
        <v>265</v>
      </c>
      <c r="B1636" s="2" t="s">
        <v>1040</v>
      </c>
      <c r="C1636" s="5" t="s">
        <v>978</v>
      </c>
      <c r="D1636" s="2" t="s">
        <v>1047</v>
      </c>
    </row>
    <row r="1637" spans="1:4" ht="12.95" customHeight="1" x14ac:dyDescent="0.25">
      <c r="A1637" s="2" t="s">
        <v>265</v>
      </c>
      <c r="B1637" s="2" t="s">
        <v>1040</v>
      </c>
      <c r="C1637" s="5" t="s">
        <v>980</v>
      </c>
      <c r="D1637" s="2" t="s">
        <v>981</v>
      </c>
    </row>
    <row r="1638" spans="1:4" ht="12.95" customHeight="1" x14ac:dyDescent="0.25">
      <c r="A1638" s="2" t="s">
        <v>265</v>
      </c>
      <c r="B1638" s="2" t="s">
        <v>1040</v>
      </c>
      <c r="C1638" s="5" t="s">
        <v>984</v>
      </c>
      <c r="D1638" s="2" t="s">
        <v>3101</v>
      </c>
    </row>
    <row r="1639" spans="1:4" ht="12.95" customHeight="1" x14ac:dyDescent="0.25">
      <c r="A1639" s="2" t="s">
        <v>265</v>
      </c>
      <c r="B1639" s="2" t="s">
        <v>1040</v>
      </c>
      <c r="C1639" s="5" t="s">
        <v>986</v>
      </c>
      <c r="D1639" s="2" t="s">
        <v>3102</v>
      </c>
    </row>
    <row r="1640" spans="1:4" ht="12.95" customHeight="1" x14ac:dyDescent="0.25">
      <c r="A1640" s="2" t="s">
        <v>265</v>
      </c>
      <c r="B1640" s="2" t="s">
        <v>1040</v>
      </c>
      <c r="C1640" s="5" t="s">
        <v>1005</v>
      </c>
      <c r="D1640" s="2" t="s">
        <v>3103</v>
      </c>
    </row>
    <row r="1641" spans="1:4" ht="12.95" customHeight="1" x14ac:dyDescent="0.25">
      <c r="A1641" s="2" t="s">
        <v>270</v>
      </c>
      <c r="B1641" s="2" t="s">
        <v>1040</v>
      </c>
      <c r="C1641" s="5" t="s">
        <v>996</v>
      </c>
      <c r="D1641" s="2" t="s">
        <v>997</v>
      </c>
    </row>
    <row r="1642" spans="1:4" ht="12.95" customHeight="1" x14ac:dyDescent="0.25">
      <c r="A1642" s="2" t="s">
        <v>270</v>
      </c>
      <c r="B1642" s="2" t="s">
        <v>1040</v>
      </c>
      <c r="C1642" s="5" t="s">
        <v>982</v>
      </c>
      <c r="D1642" s="2" t="s">
        <v>983</v>
      </c>
    </row>
    <row r="1643" spans="1:4" ht="12.95" customHeight="1" x14ac:dyDescent="0.25">
      <c r="A1643" s="2" t="s">
        <v>275</v>
      </c>
      <c r="B1643" s="2" t="s">
        <v>1154</v>
      </c>
      <c r="C1643" s="5" t="s">
        <v>978</v>
      </c>
      <c r="D1643" s="2" t="s">
        <v>1047</v>
      </c>
    </row>
    <row r="1644" spans="1:4" ht="12.95" customHeight="1" x14ac:dyDescent="0.25">
      <c r="A1644" s="2" t="s">
        <v>275</v>
      </c>
      <c r="B1644" s="2" t="s">
        <v>1154</v>
      </c>
      <c r="C1644" s="5" t="s">
        <v>980</v>
      </c>
      <c r="D1644" s="2" t="s">
        <v>1041</v>
      </c>
    </row>
    <row r="1645" spans="1:4" ht="12.95" customHeight="1" x14ac:dyDescent="0.25">
      <c r="A1645" s="2" t="s">
        <v>275</v>
      </c>
      <c r="B1645" s="2" t="s">
        <v>1154</v>
      </c>
      <c r="C1645" s="5" t="s">
        <v>982</v>
      </c>
      <c r="D1645" s="2" t="s">
        <v>983</v>
      </c>
    </row>
    <row r="1646" spans="1:4" ht="12.95" customHeight="1" x14ac:dyDescent="0.25">
      <c r="A1646" s="2" t="s">
        <v>278</v>
      </c>
      <c r="B1646" s="2" t="s">
        <v>1154</v>
      </c>
      <c r="C1646" s="5" t="s">
        <v>982</v>
      </c>
      <c r="D1646" s="2" t="s">
        <v>983</v>
      </c>
    </row>
    <row r="1647" spans="1:4" ht="12.95" customHeight="1" x14ac:dyDescent="0.25">
      <c r="A1647" s="2" t="s">
        <v>281</v>
      </c>
      <c r="B1647" s="2" t="s">
        <v>1040</v>
      </c>
      <c r="C1647" s="5" t="s">
        <v>3054</v>
      </c>
      <c r="D1647" s="2" t="s">
        <v>3104</v>
      </c>
    </row>
    <row r="1648" spans="1:4" ht="12.95" customHeight="1" x14ac:dyDescent="0.25">
      <c r="A1648" s="2" t="s">
        <v>281</v>
      </c>
      <c r="B1648" s="2" t="s">
        <v>1040</v>
      </c>
      <c r="C1648" s="5" t="s">
        <v>3105</v>
      </c>
      <c r="D1648" s="2" t="s">
        <v>3106</v>
      </c>
    </row>
    <row r="1649" spans="1:4" ht="12.95" customHeight="1" x14ac:dyDescent="0.25">
      <c r="A1649" s="2" t="s">
        <v>281</v>
      </c>
      <c r="B1649" s="2" t="s">
        <v>1040</v>
      </c>
      <c r="C1649" s="5" t="s">
        <v>3107</v>
      </c>
      <c r="D1649" s="2" t="s">
        <v>3108</v>
      </c>
    </row>
    <row r="1650" spans="1:4" ht="12.95" customHeight="1" x14ac:dyDescent="0.25">
      <c r="A1650" s="2" t="s">
        <v>281</v>
      </c>
      <c r="B1650" s="2" t="s">
        <v>1040</v>
      </c>
      <c r="C1650" s="5" t="s">
        <v>3109</v>
      </c>
      <c r="D1650" s="2" t="s">
        <v>3110</v>
      </c>
    </row>
    <row r="1651" spans="1:4" ht="12.95" customHeight="1" x14ac:dyDescent="0.25">
      <c r="A1651" s="2" t="s">
        <v>281</v>
      </c>
      <c r="B1651" s="2" t="s">
        <v>1040</v>
      </c>
      <c r="C1651" s="5" t="s">
        <v>1198</v>
      </c>
      <c r="D1651" s="2" t="s">
        <v>1199</v>
      </c>
    </row>
    <row r="1652" spans="1:4" ht="12.95" customHeight="1" x14ac:dyDescent="0.25">
      <c r="A1652" s="2" t="s">
        <v>281</v>
      </c>
      <c r="B1652" s="2" t="s">
        <v>1040</v>
      </c>
      <c r="C1652" s="5" t="s">
        <v>1200</v>
      </c>
      <c r="D1652" s="2" t="s">
        <v>1201</v>
      </c>
    </row>
    <row r="1653" spans="1:4" ht="12.95" customHeight="1" x14ac:dyDescent="0.25">
      <c r="A1653" s="2" t="s">
        <v>281</v>
      </c>
      <c r="B1653" s="2" t="s">
        <v>1040</v>
      </c>
      <c r="C1653" s="5" t="s">
        <v>1202</v>
      </c>
      <c r="D1653" s="2" t="s">
        <v>1203</v>
      </c>
    </row>
    <row r="1654" spans="1:4" ht="12.95" customHeight="1" x14ac:dyDescent="0.25">
      <c r="A1654" s="2" t="s">
        <v>281</v>
      </c>
      <c r="B1654" s="2" t="s">
        <v>1040</v>
      </c>
      <c r="C1654" s="5" t="s">
        <v>3111</v>
      </c>
      <c r="D1654" s="2" t="s">
        <v>3112</v>
      </c>
    </row>
    <row r="1655" spans="1:4" ht="12.95" customHeight="1" x14ac:dyDescent="0.25">
      <c r="A1655" s="2" t="s">
        <v>285</v>
      </c>
      <c r="B1655" s="2" t="s">
        <v>1040</v>
      </c>
      <c r="C1655" s="5" t="s">
        <v>996</v>
      </c>
      <c r="D1655" s="2" t="s">
        <v>997</v>
      </c>
    </row>
    <row r="1656" spans="1:4" ht="12.95" customHeight="1" x14ac:dyDescent="0.25">
      <c r="A1656" s="2" t="s">
        <v>285</v>
      </c>
      <c r="B1656" s="2" t="s">
        <v>1040</v>
      </c>
      <c r="C1656" s="5" t="s">
        <v>1174</v>
      </c>
      <c r="D1656" s="2" t="s">
        <v>1175</v>
      </c>
    </row>
    <row r="1657" spans="1:4" ht="12.95" customHeight="1" x14ac:dyDescent="0.25">
      <c r="A1657" s="2" t="s">
        <v>285</v>
      </c>
      <c r="B1657" s="2" t="s">
        <v>1040</v>
      </c>
      <c r="C1657" s="5" t="s">
        <v>992</v>
      </c>
      <c r="D1657" s="2" t="s">
        <v>1176</v>
      </c>
    </row>
    <row r="1658" spans="1:4" ht="12.95" customHeight="1" x14ac:dyDescent="0.25">
      <c r="A1658" s="2" t="s">
        <v>285</v>
      </c>
      <c r="B1658" s="2" t="s">
        <v>1040</v>
      </c>
      <c r="C1658" s="5" t="s">
        <v>1177</v>
      </c>
      <c r="D1658" s="2" t="s">
        <v>1178</v>
      </c>
    </row>
    <row r="1659" spans="1:4" ht="12.95" customHeight="1" x14ac:dyDescent="0.25">
      <c r="A1659" s="2" t="s">
        <v>285</v>
      </c>
      <c r="B1659" s="2" t="s">
        <v>1040</v>
      </c>
      <c r="C1659" s="5" t="s">
        <v>1179</v>
      </c>
      <c r="D1659" s="2" t="s">
        <v>1180</v>
      </c>
    </row>
    <row r="1660" spans="1:4" ht="12.95" customHeight="1" x14ac:dyDescent="0.25">
      <c r="A1660" s="2" t="s">
        <v>285</v>
      </c>
      <c r="B1660" s="2" t="s">
        <v>1040</v>
      </c>
      <c r="C1660" s="5" t="s">
        <v>1181</v>
      </c>
      <c r="D1660" s="2" t="s">
        <v>1182</v>
      </c>
    </row>
    <row r="1661" spans="1:4" ht="12.95" customHeight="1" x14ac:dyDescent="0.25">
      <c r="A1661" s="2" t="s">
        <v>285</v>
      </c>
      <c r="B1661" s="2" t="s">
        <v>1040</v>
      </c>
      <c r="C1661" s="5" t="s">
        <v>1183</v>
      </c>
      <c r="D1661" s="2" t="s">
        <v>1184</v>
      </c>
    </row>
    <row r="1662" spans="1:4" ht="12.95" customHeight="1" x14ac:dyDescent="0.25">
      <c r="A1662" s="2" t="s">
        <v>285</v>
      </c>
      <c r="B1662" s="2" t="s">
        <v>1040</v>
      </c>
      <c r="C1662" s="5" t="s">
        <v>1185</v>
      </c>
      <c r="D1662" s="2" t="s">
        <v>1186</v>
      </c>
    </row>
    <row r="1663" spans="1:4" ht="12.95" customHeight="1" x14ac:dyDescent="0.25">
      <c r="A1663" s="2" t="s">
        <v>285</v>
      </c>
      <c r="B1663" s="2" t="s">
        <v>1040</v>
      </c>
      <c r="C1663" s="5" t="s">
        <v>1187</v>
      </c>
      <c r="D1663" s="2" t="s">
        <v>1188</v>
      </c>
    </row>
    <row r="1664" spans="1:4" ht="12.95" customHeight="1" x14ac:dyDescent="0.25">
      <c r="A1664" s="2" t="s">
        <v>285</v>
      </c>
      <c r="B1664" s="2" t="s">
        <v>1040</v>
      </c>
      <c r="C1664" s="5" t="s">
        <v>1189</v>
      </c>
      <c r="D1664" s="2" t="s">
        <v>1190</v>
      </c>
    </row>
    <row r="1665" spans="1:4" ht="12.95" customHeight="1" x14ac:dyDescent="0.25">
      <c r="A1665" s="2" t="s">
        <v>285</v>
      </c>
      <c r="B1665" s="2" t="s">
        <v>1040</v>
      </c>
      <c r="C1665" s="5" t="s">
        <v>1191</v>
      </c>
      <c r="D1665" s="2" t="s">
        <v>1192</v>
      </c>
    </row>
    <row r="1666" spans="1:4" ht="12.95" customHeight="1" x14ac:dyDescent="0.25">
      <c r="A1666" s="2" t="s">
        <v>285</v>
      </c>
      <c r="B1666" s="2" t="s">
        <v>1040</v>
      </c>
      <c r="C1666" s="5" t="s">
        <v>1193</v>
      </c>
      <c r="D1666" s="2" t="s">
        <v>1194</v>
      </c>
    </row>
    <row r="1667" spans="1:4" ht="12.95" customHeight="1" x14ac:dyDescent="0.25">
      <c r="A1667" s="2" t="s">
        <v>287</v>
      </c>
      <c r="B1667" s="2" t="s">
        <v>1040</v>
      </c>
      <c r="C1667" s="5" t="s">
        <v>996</v>
      </c>
      <c r="D1667" s="2" t="s">
        <v>997</v>
      </c>
    </row>
    <row r="1668" spans="1:4" ht="12.95" customHeight="1" x14ac:dyDescent="0.25">
      <c r="A1668" s="2" t="s">
        <v>289</v>
      </c>
      <c r="B1668" s="2" t="s">
        <v>1040</v>
      </c>
      <c r="C1668" s="5" t="s">
        <v>1183</v>
      </c>
      <c r="D1668" s="2" t="s">
        <v>1195</v>
      </c>
    </row>
    <row r="1669" spans="1:4" ht="12.95" customHeight="1" x14ac:dyDescent="0.25">
      <c r="A1669" s="2" t="s">
        <v>289</v>
      </c>
      <c r="B1669" s="2" t="s">
        <v>1040</v>
      </c>
      <c r="C1669" s="5" t="s">
        <v>1196</v>
      </c>
      <c r="D1669" s="2" t="s">
        <v>1197</v>
      </c>
    </row>
    <row r="1670" spans="1:4" ht="12.95" customHeight="1" x14ac:dyDescent="0.25">
      <c r="A1670" s="2" t="s">
        <v>289</v>
      </c>
      <c r="B1670" s="2" t="s">
        <v>1040</v>
      </c>
      <c r="C1670" s="5" t="s">
        <v>1198</v>
      </c>
      <c r="D1670" s="2" t="s">
        <v>1199</v>
      </c>
    </row>
    <row r="1671" spans="1:4" ht="12.95" customHeight="1" x14ac:dyDescent="0.25">
      <c r="A1671" s="2" t="s">
        <v>289</v>
      </c>
      <c r="B1671" s="2" t="s">
        <v>1040</v>
      </c>
      <c r="C1671" s="5" t="s">
        <v>1200</v>
      </c>
      <c r="D1671" s="2" t="s">
        <v>1201</v>
      </c>
    </row>
    <row r="1672" spans="1:4" ht="12.95" customHeight="1" x14ac:dyDescent="0.25">
      <c r="A1672" s="2" t="s">
        <v>289</v>
      </c>
      <c r="B1672" s="2" t="s">
        <v>1040</v>
      </c>
      <c r="C1672" s="5" t="s">
        <v>1202</v>
      </c>
      <c r="D1672" s="2" t="s">
        <v>1203</v>
      </c>
    </row>
    <row r="1673" spans="1:4" ht="12.95" customHeight="1" x14ac:dyDescent="0.25">
      <c r="A1673" s="2" t="s">
        <v>289</v>
      </c>
      <c r="B1673" s="2" t="s">
        <v>1040</v>
      </c>
      <c r="C1673" s="5" t="s">
        <v>1204</v>
      </c>
      <c r="D1673" s="2" t="s">
        <v>1205</v>
      </c>
    </row>
    <row r="1674" spans="1:4" ht="12.95" customHeight="1" x14ac:dyDescent="0.25">
      <c r="A1674" s="2" t="s">
        <v>289</v>
      </c>
      <c r="B1674" s="2" t="s">
        <v>1040</v>
      </c>
      <c r="C1674" s="5" t="s">
        <v>1206</v>
      </c>
      <c r="D1674" s="2" t="s">
        <v>1207</v>
      </c>
    </row>
    <row r="1675" spans="1:4" ht="12.95" customHeight="1" x14ac:dyDescent="0.25">
      <c r="A1675" s="2" t="s">
        <v>289</v>
      </c>
      <c r="B1675" s="2" t="s">
        <v>1040</v>
      </c>
      <c r="C1675" s="5" t="s">
        <v>1208</v>
      </c>
      <c r="D1675" s="2" t="s">
        <v>1209</v>
      </c>
    </row>
    <row r="1676" spans="1:4" ht="12.95" customHeight="1" x14ac:dyDescent="0.25">
      <c r="A1676" s="2" t="s">
        <v>293</v>
      </c>
      <c r="B1676" s="2" t="s">
        <v>1040</v>
      </c>
      <c r="C1676" s="5" t="s">
        <v>1183</v>
      </c>
      <c r="D1676" s="2" t="s">
        <v>1195</v>
      </c>
    </row>
    <row r="1677" spans="1:4" ht="12.95" customHeight="1" x14ac:dyDescent="0.25">
      <c r="A1677" s="2" t="s">
        <v>293</v>
      </c>
      <c r="B1677" s="2" t="s">
        <v>1040</v>
      </c>
      <c r="C1677" s="5" t="s">
        <v>1196</v>
      </c>
      <c r="D1677" s="2" t="s">
        <v>1197</v>
      </c>
    </row>
    <row r="1678" spans="1:4" ht="12.95" customHeight="1" x14ac:dyDescent="0.25">
      <c r="A1678" s="2" t="s">
        <v>293</v>
      </c>
      <c r="B1678" s="2" t="s">
        <v>1040</v>
      </c>
      <c r="C1678" s="5" t="s">
        <v>1198</v>
      </c>
      <c r="D1678" s="2" t="s">
        <v>1199</v>
      </c>
    </row>
    <row r="1679" spans="1:4" ht="12.95" customHeight="1" x14ac:dyDescent="0.25">
      <c r="A1679" s="2" t="s">
        <v>293</v>
      </c>
      <c r="B1679" s="2" t="s">
        <v>1040</v>
      </c>
      <c r="C1679" s="5" t="s">
        <v>1200</v>
      </c>
      <c r="D1679" s="2" t="s">
        <v>1201</v>
      </c>
    </row>
    <row r="1680" spans="1:4" ht="12.95" customHeight="1" x14ac:dyDescent="0.25">
      <c r="A1680" s="2" t="s">
        <v>293</v>
      </c>
      <c r="B1680" s="2" t="s">
        <v>1040</v>
      </c>
      <c r="C1680" s="5" t="s">
        <v>1202</v>
      </c>
      <c r="D1680" s="2" t="s">
        <v>1203</v>
      </c>
    </row>
    <row r="1681" spans="1:4" ht="12.95" customHeight="1" x14ac:dyDescent="0.25">
      <c r="A1681" s="2" t="s">
        <v>293</v>
      </c>
      <c r="B1681" s="2" t="s">
        <v>1040</v>
      </c>
      <c r="C1681" s="5" t="s">
        <v>1204</v>
      </c>
      <c r="D1681" s="2" t="s">
        <v>1205</v>
      </c>
    </row>
    <row r="1682" spans="1:4" ht="12.95" customHeight="1" x14ac:dyDescent="0.25">
      <c r="A1682" s="2" t="s">
        <v>293</v>
      </c>
      <c r="B1682" s="2" t="s">
        <v>1040</v>
      </c>
      <c r="C1682" s="5" t="s">
        <v>1206</v>
      </c>
      <c r="D1682" s="2" t="s">
        <v>1207</v>
      </c>
    </row>
    <row r="1683" spans="1:4" ht="12.95" customHeight="1" x14ac:dyDescent="0.25">
      <c r="A1683" s="2" t="s">
        <v>293</v>
      </c>
      <c r="B1683" s="2" t="s">
        <v>1040</v>
      </c>
      <c r="C1683" s="5" t="s">
        <v>1208</v>
      </c>
      <c r="D1683" s="2" t="s">
        <v>1209</v>
      </c>
    </row>
    <row r="1684" spans="1:4" ht="12.95" customHeight="1" x14ac:dyDescent="0.25">
      <c r="A1684" s="2" t="s">
        <v>297</v>
      </c>
      <c r="B1684" s="2" t="s">
        <v>1007</v>
      </c>
      <c r="C1684" s="5" t="s">
        <v>984</v>
      </c>
      <c r="D1684" s="2" t="s">
        <v>1061</v>
      </c>
    </row>
    <row r="1685" spans="1:4" ht="12.95" customHeight="1" x14ac:dyDescent="0.25">
      <c r="A1685" s="2" t="s">
        <v>297</v>
      </c>
      <c r="B1685" s="2" t="s">
        <v>1007</v>
      </c>
      <c r="C1685" s="5" t="s">
        <v>986</v>
      </c>
      <c r="D1685" s="2" t="s">
        <v>1062</v>
      </c>
    </row>
    <row r="1686" spans="1:4" ht="12.95" customHeight="1" x14ac:dyDescent="0.25">
      <c r="A1686" s="2" t="s">
        <v>299</v>
      </c>
      <c r="B1686" s="2" t="s">
        <v>1040</v>
      </c>
      <c r="C1686" s="5" t="s">
        <v>978</v>
      </c>
      <c r="D1686" s="2" t="s">
        <v>979</v>
      </c>
    </row>
    <row r="1687" spans="1:4" ht="12.95" customHeight="1" x14ac:dyDescent="0.25">
      <c r="A1687" s="2" t="s">
        <v>299</v>
      </c>
      <c r="B1687" s="2" t="s">
        <v>1040</v>
      </c>
      <c r="C1687" s="5" t="s">
        <v>980</v>
      </c>
      <c r="D1687" s="2" t="s">
        <v>981</v>
      </c>
    </row>
    <row r="1688" spans="1:4" ht="12.95" customHeight="1" x14ac:dyDescent="0.25">
      <c r="A1688" s="2" t="s">
        <v>299</v>
      </c>
      <c r="B1688" s="2" t="s">
        <v>1040</v>
      </c>
      <c r="C1688" s="5" t="s">
        <v>982</v>
      </c>
      <c r="D1688" s="2" t="s">
        <v>983</v>
      </c>
    </row>
    <row r="1689" spans="1:4" ht="12.95" customHeight="1" x14ac:dyDescent="0.25">
      <c r="A1689" s="2" t="s">
        <v>299</v>
      </c>
      <c r="B1689" s="2" t="s">
        <v>1040</v>
      </c>
      <c r="C1689" s="5" t="s">
        <v>984</v>
      </c>
      <c r="D1689" s="2" t="s">
        <v>3113</v>
      </c>
    </row>
    <row r="1690" spans="1:4" ht="12.95" customHeight="1" x14ac:dyDescent="0.25">
      <c r="A1690" s="2" t="s">
        <v>299</v>
      </c>
      <c r="B1690" s="2" t="s">
        <v>1040</v>
      </c>
      <c r="C1690" s="5" t="s">
        <v>986</v>
      </c>
      <c r="D1690" s="2" t="s">
        <v>3114</v>
      </c>
    </row>
    <row r="1691" spans="1:4" ht="12.95" customHeight="1" x14ac:dyDescent="0.25">
      <c r="A1691" s="2" t="s">
        <v>299</v>
      </c>
      <c r="B1691" s="2" t="s">
        <v>1040</v>
      </c>
      <c r="C1691" s="5" t="s">
        <v>988</v>
      </c>
      <c r="D1691" s="2" t="s">
        <v>3115</v>
      </c>
    </row>
    <row r="1692" spans="1:4" ht="12.95" customHeight="1" x14ac:dyDescent="0.25">
      <c r="A1692" s="2" t="s">
        <v>299</v>
      </c>
      <c r="B1692" s="2" t="s">
        <v>1040</v>
      </c>
      <c r="C1692" s="5" t="s">
        <v>990</v>
      </c>
      <c r="D1692" s="2" t="s">
        <v>3116</v>
      </c>
    </row>
    <row r="1693" spans="1:4" ht="12.95" customHeight="1" x14ac:dyDescent="0.25">
      <c r="A1693" s="2" t="s">
        <v>299</v>
      </c>
      <c r="B1693" s="2" t="s">
        <v>1040</v>
      </c>
      <c r="C1693" s="5" t="s">
        <v>992</v>
      </c>
      <c r="D1693" s="2" t="s">
        <v>3117</v>
      </c>
    </row>
    <row r="1694" spans="1:4" ht="12.95" customHeight="1" x14ac:dyDescent="0.25">
      <c r="A1694" s="2" t="s">
        <v>299</v>
      </c>
      <c r="B1694" s="2" t="s">
        <v>1040</v>
      </c>
      <c r="C1694" s="5" t="s">
        <v>994</v>
      </c>
      <c r="D1694" s="2" t="s">
        <v>3118</v>
      </c>
    </row>
    <row r="1695" spans="1:4" ht="12.95" customHeight="1" x14ac:dyDescent="0.25">
      <c r="A1695" s="2" t="s">
        <v>299</v>
      </c>
      <c r="B1695" s="2" t="s">
        <v>1040</v>
      </c>
      <c r="C1695" s="5" t="s">
        <v>1003</v>
      </c>
      <c r="D1695" s="2" t="s">
        <v>3119</v>
      </c>
    </row>
    <row r="1696" spans="1:4" ht="12.95" customHeight="1" x14ac:dyDescent="0.25">
      <c r="A1696" s="2" t="s">
        <v>299</v>
      </c>
      <c r="B1696" s="2" t="s">
        <v>1040</v>
      </c>
      <c r="C1696" s="5" t="s">
        <v>1013</v>
      </c>
      <c r="D1696" s="2" t="s">
        <v>3120</v>
      </c>
    </row>
    <row r="1697" spans="1:4" ht="12.95" customHeight="1" x14ac:dyDescent="0.25">
      <c r="A1697" s="2" t="s">
        <v>299</v>
      </c>
      <c r="B1697" s="2" t="s">
        <v>1040</v>
      </c>
      <c r="C1697" s="5" t="s">
        <v>1015</v>
      </c>
      <c r="D1697" s="2" t="s">
        <v>3121</v>
      </c>
    </row>
    <row r="1698" spans="1:4" ht="12.95" customHeight="1" x14ac:dyDescent="0.25">
      <c r="A1698" s="2" t="s">
        <v>299</v>
      </c>
      <c r="B1698" s="2" t="s">
        <v>1040</v>
      </c>
      <c r="C1698" s="5" t="s">
        <v>1017</v>
      </c>
      <c r="D1698" s="2" t="s">
        <v>3122</v>
      </c>
    </row>
    <row r="1699" spans="1:4" ht="12.95" customHeight="1" x14ac:dyDescent="0.25">
      <c r="A1699" s="2" t="s">
        <v>299</v>
      </c>
      <c r="B1699" s="2" t="s">
        <v>1040</v>
      </c>
      <c r="C1699" s="5" t="s">
        <v>1019</v>
      </c>
      <c r="D1699" s="2" t="s">
        <v>3123</v>
      </c>
    </row>
    <row r="1700" spans="1:4" ht="12.95" customHeight="1" x14ac:dyDescent="0.25">
      <c r="A1700" s="2" t="s">
        <v>303</v>
      </c>
      <c r="B1700" s="2" t="s">
        <v>1040</v>
      </c>
      <c r="C1700" s="5" t="s">
        <v>978</v>
      </c>
      <c r="D1700" s="2" t="s">
        <v>979</v>
      </c>
    </row>
    <row r="1701" spans="1:4" ht="12.95" customHeight="1" x14ac:dyDescent="0.25">
      <c r="A1701" s="2" t="s">
        <v>303</v>
      </c>
      <c r="B1701" s="2" t="s">
        <v>1040</v>
      </c>
      <c r="C1701" s="5" t="s">
        <v>980</v>
      </c>
      <c r="D1701" s="2" t="s">
        <v>981</v>
      </c>
    </row>
    <row r="1702" spans="1:4" ht="12.95" customHeight="1" x14ac:dyDescent="0.25">
      <c r="A1702" s="2" t="s">
        <v>303</v>
      </c>
      <c r="B1702" s="2" t="s">
        <v>1040</v>
      </c>
      <c r="C1702" s="5" t="s">
        <v>982</v>
      </c>
      <c r="D1702" s="2" t="s">
        <v>983</v>
      </c>
    </row>
    <row r="1703" spans="1:4" ht="12.95" customHeight="1" x14ac:dyDescent="0.25">
      <c r="A1703" s="2" t="s">
        <v>303</v>
      </c>
      <c r="B1703" s="2" t="s">
        <v>1040</v>
      </c>
      <c r="C1703" s="5" t="s">
        <v>984</v>
      </c>
      <c r="D1703" s="2" t="s">
        <v>3113</v>
      </c>
    </row>
    <row r="1704" spans="1:4" ht="12.95" customHeight="1" x14ac:dyDescent="0.25">
      <c r="A1704" s="2" t="s">
        <v>303</v>
      </c>
      <c r="B1704" s="2" t="s">
        <v>1040</v>
      </c>
      <c r="C1704" s="5" t="s">
        <v>986</v>
      </c>
      <c r="D1704" s="2" t="s">
        <v>3114</v>
      </c>
    </row>
    <row r="1705" spans="1:4" ht="12.95" customHeight="1" x14ac:dyDescent="0.25">
      <c r="A1705" s="2" t="s">
        <v>303</v>
      </c>
      <c r="B1705" s="2" t="s">
        <v>1040</v>
      </c>
      <c r="C1705" s="5" t="s">
        <v>988</v>
      </c>
      <c r="D1705" s="2" t="s">
        <v>3115</v>
      </c>
    </row>
    <row r="1706" spans="1:4" ht="12.95" customHeight="1" x14ac:dyDescent="0.25">
      <c r="A1706" s="2" t="s">
        <v>303</v>
      </c>
      <c r="B1706" s="2" t="s">
        <v>1040</v>
      </c>
      <c r="C1706" s="5" t="s">
        <v>990</v>
      </c>
      <c r="D1706" s="2" t="s">
        <v>3116</v>
      </c>
    </row>
    <row r="1707" spans="1:4" ht="12.95" customHeight="1" x14ac:dyDescent="0.25">
      <c r="A1707" s="2" t="s">
        <v>303</v>
      </c>
      <c r="B1707" s="2" t="s">
        <v>1040</v>
      </c>
      <c r="C1707" s="5" t="s">
        <v>992</v>
      </c>
      <c r="D1707" s="2" t="s">
        <v>3117</v>
      </c>
    </row>
    <row r="1708" spans="1:4" ht="12.95" customHeight="1" x14ac:dyDescent="0.25">
      <c r="A1708" s="2" t="s">
        <v>303</v>
      </c>
      <c r="B1708" s="2" t="s">
        <v>1040</v>
      </c>
      <c r="C1708" s="5" t="s">
        <v>994</v>
      </c>
      <c r="D1708" s="2" t="s">
        <v>3118</v>
      </c>
    </row>
    <row r="1709" spans="1:4" ht="12.95" customHeight="1" x14ac:dyDescent="0.25">
      <c r="A1709" s="2" t="s">
        <v>303</v>
      </c>
      <c r="B1709" s="2" t="s">
        <v>1040</v>
      </c>
      <c r="C1709" s="5" t="s">
        <v>1003</v>
      </c>
      <c r="D1709" s="2" t="s">
        <v>3119</v>
      </c>
    </row>
    <row r="1710" spans="1:4" ht="12.95" customHeight="1" x14ac:dyDescent="0.25">
      <c r="A1710" s="2" t="s">
        <v>303</v>
      </c>
      <c r="B1710" s="2" t="s">
        <v>1040</v>
      </c>
      <c r="C1710" s="5" t="s">
        <v>1013</v>
      </c>
      <c r="D1710" s="2" t="s">
        <v>3120</v>
      </c>
    </row>
    <row r="1711" spans="1:4" ht="12.95" customHeight="1" x14ac:dyDescent="0.25">
      <c r="A1711" s="2" t="s">
        <v>303</v>
      </c>
      <c r="B1711" s="2" t="s">
        <v>1040</v>
      </c>
      <c r="C1711" s="5" t="s">
        <v>1015</v>
      </c>
      <c r="D1711" s="2" t="s">
        <v>3121</v>
      </c>
    </row>
    <row r="1712" spans="1:4" ht="12.95" customHeight="1" x14ac:dyDescent="0.25">
      <c r="A1712" s="2" t="s">
        <v>303</v>
      </c>
      <c r="B1712" s="2" t="s">
        <v>1040</v>
      </c>
      <c r="C1712" s="5" t="s">
        <v>1017</v>
      </c>
      <c r="D1712" s="2" t="s">
        <v>3122</v>
      </c>
    </row>
    <row r="1713" spans="1:4" ht="12.95" customHeight="1" x14ac:dyDescent="0.25">
      <c r="A1713" s="2" t="s">
        <v>303</v>
      </c>
      <c r="B1713" s="2" t="s">
        <v>1040</v>
      </c>
      <c r="C1713" s="5" t="s">
        <v>1019</v>
      </c>
      <c r="D1713" s="2" t="s">
        <v>3123</v>
      </c>
    </row>
    <row r="1714" spans="1:4" ht="12.95" customHeight="1" x14ac:dyDescent="0.25">
      <c r="A1714" s="2" t="s">
        <v>306</v>
      </c>
      <c r="B1714" s="2" t="s">
        <v>1040</v>
      </c>
      <c r="C1714" s="5" t="s">
        <v>978</v>
      </c>
      <c r="D1714" s="2" t="s">
        <v>979</v>
      </c>
    </row>
    <row r="1715" spans="1:4" ht="12.95" customHeight="1" x14ac:dyDescent="0.25">
      <c r="A1715" s="2" t="s">
        <v>306</v>
      </c>
      <c r="B1715" s="2" t="s">
        <v>1040</v>
      </c>
      <c r="C1715" s="5" t="s">
        <v>980</v>
      </c>
      <c r="D1715" s="2" t="s">
        <v>981</v>
      </c>
    </row>
    <row r="1716" spans="1:4" ht="12.95" customHeight="1" x14ac:dyDescent="0.25">
      <c r="A1716" s="2" t="s">
        <v>306</v>
      </c>
      <c r="B1716" s="2" t="s">
        <v>1040</v>
      </c>
      <c r="C1716" s="5" t="s">
        <v>982</v>
      </c>
      <c r="D1716" s="2" t="s">
        <v>983</v>
      </c>
    </row>
    <row r="1717" spans="1:4" ht="12.95" customHeight="1" x14ac:dyDescent="0.25">
      <c r="A1717" s="2" t="s">
        <v>306</v>
      </c>
      <c r="B1717" s="2" t="s">
        <v>1040</v>
      </c>
      <c r="C1717" s="5" t="s">
        <v>984</v>
      </c>
      <c r="D1717" s="2" t="s">
        <v>3113</v>
      </c>
    </row>
    <row r="1718" spans="1:4" ht="12.95" customHeight="1" x14ac:dyDescent="0.25">
      <c r="A1718" s="2" t="s">
        <v>306</v>
      </c>
      <c r="B1718" s="2" t="s">
        <v>1040</v>
      </c>
      <c r="C1718" s="5" t="s">
        <v>986</v>
      </c>
      <c r="D1718" s="2" t="s">
        <v>3114</v>
      </c>
    </row>
    <row r="1719" spans="1:4" ht="12.95" customHeight="1" x14ac:dyDescent="0.25">
      <c r="A1719" s="2" t="s">
        <v>306</v>
      </c>
      <c r="B1719" s="2" t="s">
        <v>1040</v>
      </c>
      <c r="C1719" s="5" t="s">
        <v>988</v>
      </c>
      <c r="D1719" s="2" t="s">
        <v>3115</v>
      </c>
    </row>
    <row r="1720" spans="1:4" ht="12.95" customHeight="1" x14ac:dyDescent="0.25">
      <c r="A1720" s="2" t="s">
        <v>306</v>
      </c>
      <c r="B1720" s="2" t="s">
        <v>1040</v>
      </c>
      <c r="C1720" s="5" t="s">
        <v>990</v>
      </c>
      <c r="D1720" s="2" t="s">
        <v>3116</v>
      </c>
    </row>
    <row r="1721" spans="1:4" ht="12.95" customHeight="1" x14ac:dyDescent="0.25">
      <c r="A1721" s="2" t="s">
        <v>306</v>
      </c>
      <c r="B1721" s="2" t="s">
        <v>1040</v>
      </c>
      <c r="C1721" s="5" t="s">
        <v>992</v>
      </c>
      <c r="D1721" s="2" t="s">
        <v>3117</v>
      </c>
    </row>
    <row r="1722" spans="1:4" ht="12.95" customHeight="1" x14ac:dyDescent="0.25">
      <c r="A1722" s="2" t="s">
        <v>306</v>
      </c>
      <c r="B1722" s="2" t="s">
        <v>1040</v>
      </c>
      <c r="C1722" s="5" t="s">
        <v>994</v>
      </c>
      <c r="D1722" s="2" t="s">
        <v>3118</v>
      </c>
    </row>
    <row r="1723" spans="1:4" ht="12.95" customHeight="1" x14ac:dyDescent="0.25">
      <c r="A1723" s="2" t="s">
        <v>306</v>
      </c>
      <c r="B1723" s="2" t="s">
        <v>1040</v>
      </c>
      <c r="C1723" s="5" t="s">
        <v>1003</v>
      </c>
      <c r="D1723" s="2" t="s">
        <v>3119</v>
      </c>
    </row>
    <row r="1724" spans="1:4" ht="12.95" customHeight="1" x14ac:dyDescent="0.25">
      <c r="A1724" s="2" t="s">
        <v>306</v>
      </c>
      <c r="B1724" s="2" t="s">
        <v>1040</v>
      </c>
      <c r="C1724" s="5" t="s">
        <v>1013</v>
      </c>
      <c r="D1724" s="2" t="s">
        <v>3120</v>
      </c>
    </row>
    <row r="1725" spans="1:4" ht="12.95" customHeight="1" x14ac:dyDescent="0.25">
      <c r="A1725" s="2" t="s">
        <v>306</v>
      </c>
      <c r="B1725" s="2" t="s">
        <v>1040</v>
      </c>
      <c r="C1725" s="5" t="s">
        <v>1015</v>
      </c>
      <c r="D1725" s="2" t="s">
        <v>3121</v>
      </c>
    </row>
    <row r="1726" spans="1:4" ht="12.95" customHeight="1" x14ac:dyDescent="0.25">
      <c r="A1726" s="2" t="s">
        <v>306</v>
      </c>
      <c r="B1726" s="2" t="s">
        <v>1040</v>
      </c>
      <c r="C1726" s="5" t="s">
        <v>1017</v>
      </c>
      <c r="D1726" s="2" t="s">
        <v>3122</v>
      </c>
    </row>
    <row r="1727" spans="1:4" ht="12.95" customHeight="1" x14ac:dyDescent="0.25">
      <c r="A1727" s="2" t="s">
        <v>306</v>
      </c>
      <c r="B1727" s="2" t="s">
        <v>1040</v>
      </c>
      <c r="C1727" s="5" t="s">
        <v>1019</v>
      </c>
      <c r="D1727" s="2" t="s">
        <v>3123</v>
      </c>
    </row>
    <row r="1728" spans="1:4" ht="12.95" customHeight="1" x14ac:dyDescent="0.25">
      <c r="A1728" s="2" t="s">
        <v>308</v>
      </c>
      <c r="B1728" s="2" t="s">
        <v>1040</v>
      </c>
      <c r="C1728" s="5" t="s">
        <v>978</v>
      </c>
      <c r="D1728" s="2" t="s">
        <v>979</v>
      </c>
    </row>
    <row r="1729" spans="1:4" ht="12.95" customHeight="1" x14ac:dyDescent="0.25">
      <c r="A1729" s="2" t="s">
        <v>308</v>
      </c>
      <c r="B1729" s="2" t="s">
        <v>1040</v>
      </c>
      <c r="C1729" s="5" t="s">
        <v>980</v>
      </c>
      <c r="D1729" s="2" t="s">
        <v>981</v>
      </c>
    </row>
    <row r="1730" spans="1:4" ht="12.95" customHeight="1" x14ac:dyDescent="0.25">
      <c r="A1730" s="2" t="s">
        <v>308</v>
      </c>
      <c r="B1730" s="2" t="s">
        <v>1040</v>
      </c>
      <c r="C1730" s="5" t="s">
        <v>982</v>
      </c>
      <c r="D1730" s="2" t="s">
        <v>983</v>
      </c>
    </row>
    <row r="1731" spans="1:4" ht="12.95" customHeight="1" x14ac:dyDescent="0.25">
      <c r="A1731" s="2" t="s">
        <v>308</v>
      </c>
      <c r="B1731" s="2" t="s">
        <v>1040</v>
      </c>
      <c r="C1731" s="5" t="s">
        <v>984</v>
      </c>
      <c r="D1731" s="2" t="s">
        <v>3113</v>
      </c>
    </row>
    <row r="1732" spans="1:4" ht="12.95" customHeight="1" x14ac:dyDescent="0.25">
      <c r="A1732" s="2" t="s">
        <v>308</v>
      </c>
      <c r="B1732" s="2" t="s">
        <v>1040</v>
      </c>
      <c r="C1732" s="5" t="s">
        <v>986</v>
      </c>
      <c r="D1732" s="2" t="s">
        <v>3114</v>
      </c>
    </row>
    <row r="1733" spans="1:4" ht="12.95" customHeight="1" x14ac:dyDescent="0.25">
      <c r="A1733" s="2" t="s">
        <v>308</v>
      </c>
      <c r="B1733" s="2" t="s">
        <v>1040</v>
      </c>
      <c r="C1733" s="5" t="s">
        <v>988</v>
      </c>
      <c r="D1733" s="2" t="s">
        <v>3115</v>
      </c>
    </row>
    <row r="1734" spans="1:4" ht="12.95" customHeight="1" x14ac:dyDescent="0.25">
      <c r="A1734" s="2" t="s">
        <v>308</v>
      </c>
      <c r="B1734" s="2" t="s">
        <v>1040</v>
      </c>
      <c r="C1734" s="5" t="s">
        <v>990</v>
      </c>
      <c r="D1734" s="2" t="s">
        <v>3116</v>
      </c>
    </row>
    <row r="1735" spans="1:4" ht="12.95" customHeight="1" x14ac:dyDescent="0.25">
      <c r="A1735" s="2" t="s">
        <v>308</v>
      </c>
      <c r="B1735" s="2" t="s">
        <v>1040</v>
      </c>
      <c r="C1735" s="5" t="s">
        <v>992</v>
      </c>
      <c r="D1735" s="2" t="s">
        <v>3117</v>
      </c>
    </row>
    <row r="1736" spans="1:4" ht="12.95" customHeight="1" x14ac:dyDescent="0.25">
      <c r="A1736" s="2" t="s">
        <v>308</v>
      </c>
      <c r="B1736" s="2" t="s">
        <v>1040</v>
      </c>
      <c r="C1736" s="5" t="s">
        <v>994</v>
      </c>
      <c r="D1736" s="2" t="s">
        <v>3118</v>
      </c>
    </row>
    <row r="1737" spans="1:4" ht="12.95" customHeight="1" x14ac:dyDescent="0.25">
      <c r="A1737" s="2" t="s">
        <v>308</v>
      </c>
      <c r="B1737" s="2" t="s">
        <v>1040</v>
      </c>
      <c r="C1737" s="5" t="s">
        <v>1003</v>
      </c>
      <c r="D1737" s="2" t="s">
        <v>3119</v>
      </c>
    </row>
    <row r="1738" spans="1:4" ht="12.95" customHeight="1" x14ac:dyDescent="0.25">
      <c r="A1738" s="2" t="s">
        <v>308</v>
      </c>
      <c r="B1738" s="2" t="s">
        <v>1040</v>
      </c>
      <c r="C1738" s="5" t="s">
        <v>1013</v>
      </c>
      <c r="D1738" s="2" t="s">
        <v>3120</v>
      </c>
    </row>
    <row r="1739" spans="1:4" ht="12.95" customHeight="1" x14ac:dyDescent="0.25">
      <c r="A1739" s="2" t="s">
        <v>308</v>
      </c>
      <c r="B1739" s="2" t="s">
        <v>1040</v>
      </c>
      <c r="C1739" s="5" t="s">
        <v>1015</v>
      </c>
      <c r="D1739" s="2" t="s">
        <v>3121</v>
      </c>
    </row>
    <row r="1740" spans="1:4" ht="12.95" customHeight="1" x14ac:dyDescent="0.25">
      <c r="A1740" s="2" t="s">
        <v>308</v>
      </c>
      <c r="B1740" s="2" t="s">
        <v>1040</v>
      </c>
      <c r="C1740" s="5" t="s">
        <v>1017</v>
      </c>
      <c r="D1740" s="2" t="s">
        <v>3122</v>
      </c>
    </row>
    <row r="1741" spans="1:4" ht="12.95" customHeight="1" x14ac:dyDescent="0.25">
      <c r="A1741" s="2" t="s">
        <v>308</v>
      </c>
      <c r="B1741" s="2" t="s">
        <v>1040</v>
      </c>
      <c r="C1741" s="5" t="s">
        <v>1019</v>
      </c>
      <c r="D1741" s="2" t="s">
        <v>3123</v>
      </c>
    </row>
    <row r="1742" spans="1:4" ht="12.95" customHeight="1" x14ac:dyDescent="0.25">
      <c r="A1742" s="2" t="s">
        <v>311</v>
      </c>
      <c r="B1742" s="2" t="s">
        <v>1040</v>
      </c>
      <c r="C1742" s="5" t="s">
        <v>978</v>
      </c>
      <c r="D1742" s="2" t="s">
        <v>979</v>
      </c>
    </row>
    <row r="1743" spans="1:4" ht="12.95" customHeight="1" x14ac:dyDescent="0.25">
      <c r="A1743" s="2" t="s">
        <v>311</v>
      </c>
      <c r="B1743" s="2" t="s">
        <v>1040</v>
      </c>
      <c r="C1743" s="5" t="s">
        <v>980</v>
      </c>
      <c r="D1743" s="2" t="s">
        <v>981</v>
      </c>
    </row>
    <row r="1744" spans="1:4" ht="12.95" customHeight="1" x14ac:dyDescent="0.25">
      <c r="A1744" s="2" t="s">
        <v>311</v>
      </c>
      <c r="B1744" s="2" t="s">
        <v>1040</v>
      </c>
      <c r="C1744" s="5" t="s">
        <v>982</v>
      </c>
      <c r="D1744" s="2" t="s">
        <v>983</v>
      </c>
    </row>
    <row r="1745" spans="1:4" ht="12.95" customHeight="1" x14ac:dyDescent="0.25">
      <c r="A1745" s="2" t="s">
        <v>311</v>
      </c>
      <c r="B1745" s="2" t="s">
        <v>1040</v>
      </c>
      <c r="C1745" s="5" t="s">
        <v>984</v>
      </c>
      <c r="D1745" s="2" t="s">
        <v>3113</v>
      </c>
    </row>
    <row r="1746" spans="1:4" ht="12.95" customHeight="1" x14ac:dyDescent="0.25">
      <c r="A1746" s="2" t="s">
        <v>311</v>
      </c>
      <c r="B1746" s="2" t="s">
        <v>1040</v>
      </c>
      <c r="C1746" s="5" t="s">
        <v>986</v>
      </c>
      <c r="D1746" s="2" t="s">
        <v>3114</v>
      </c>
    </row>
    <row r="1747" spans="1:4" ht="12.95" customHeight="1" x14ac:dyDescent="0.25">
      <c r="A1747" s="2" t="s">
        <v>311</v>
      </c>
      <c r="B1747" s="2" t="s">
        <v>1040</v>
      </c>
      <c r="C1747" s="5" t="s">
        <v>988</v>
      </c>
      <c r="D1747" s="2" t="s">
        <v>3115</v>
      </c>
    </row>
    <row r="1748" spans="1:4" ht="12.95" customHeight="1" x14ac:dyDescent="0.25">
      <c r="A1748" s="2" t="s">
        <v>311</v>
      </c>
      <c r="B1748" s="2" t="s">
        <v>1040</v>
      </c>
      <c r="C1748" s="5" t="s">
        <v>990</v>
      </c>
      <c r="D1748" s="2" t="s">
        <v>3116</v>
      </c>
    </row>
    <row r="1749" spans="1:4" ht="12.95" customHeight="1" x14ac:dyDescent="0.25">
      <c r="A1749" s="2" t="s">
        <v>311</v>
      </c>
      <c r="B1749" s="2" t="s">
        <v>1040</v>
      </c>
      <c r="C1749" s="5" t="s">
        <v>992</v>
      </c>
      <c r="D1749" s="2" t="s">
        <v>3117</v>
      </c>
    </row>
    <row r="1750" spans="1:4" ht="12.95" customHeight="1" x14ac:dyDescent="0.25">
      <c r="A1750" s="2" t="s">
        <v>311</v>
      </c>
      <c r="B1750" s="2" t="s">
        <v>1040</v>
      </c>
      <c r="C1750" s="5" t="s">
        <v>994</v>
      </c>
      <c r="D1750" s="2" t="s">
        <v>3118</v>
      </c>
    </row>
    <row r="1751" spans="1:4" ht="12.95" customHeight="1" x14ac:dyDescent="0.25">
      <c r="A1751" s="2" t="s">
        <v>311</v>
      </c>
      <c r="B1751" s="2" t="s">
        <v>1040</v>
      </c>
      <c r="C1751" s="5" t="s">
        <v>1003</v>
      </c>
      <c r="D1751" s="2" t="s">
        <v>3119</v>
      </c>
    </row>
    <row r="1752" spans="1:4" ht="12.95" customHeight="1" x14ac:dyDescent="0.25">
      <c r="A1752" s="2" t="s">
        <v>311</v>
      </c>
      <c r="B1752" s="2" t="s">
        <v>1040</v>
      </c>
      <c r="C1752" s="5" t="s">
        <v>1013</v>
      </c>
      <c r="D1752" s="2" t="s">
        <v>3120</v>
      </c>
    </row>
    <row r="1753" spans="1:4" ht="12.95" customHeight="1" x14ac:dyDescent="0.25">
      <c r="A1753" s="2" t="s">
        <v>311</v>
      </c>
      <c r="B1753" s="2" t="s">
        <v>1040</v>
      </c>
      <c r="C1753" s="5" t="s">
        <v>1015</v>
      </c>
      <c r="D1753" s="2" t="s">
        <v>3121</v>
      </c>
    </row>
    <row r="1754" spans="1:4" ht="12.95" customHeight="1" x14ac:dyDescent="0.25">
      <c r="A1754" s="2" t="s">
        <v>311</v>
      </c>
      <c r="B1754" s="2" t="s">
        <v>1040</v>
      </c>
      <c r="C1754" s="5" t="s">
        <v>1017</v>
      </c>
      <c r="D1754" s="2" t="s">
        <v>3122</v>
      </c>
    </row>
    <row r="1755" spans="1:4" ht="12.95" customHeight="1" x14ac:dyDescent="0.25">
      <c r="A1755" s="2" t="s">
        <v>311</v>
      </c>
      <c r="B1755" s="2" t="s">
        <v>1040</v>
      </c>
      <c r="C1755" s="5" t="s">
        <v>1019</v>
      </c>
      <c r="D1755" s="2" t="s">
        <v>3123</v>
      </c>
    </row>
    <row r="1756" spans="1:4" ht="12.95" customHeight="1" x14ac:dyDescent="0.25">
      <c r="A1756" s="2" t="s">
        <v>314</v>
      </c>
      <c r="B1756" s="2" t="s">
        <v>1040</v>
      </c>
      <c r="C1756" s="5" t="s">
        <v>978</v>
      </c>
      <c r="D1756" s="2" t="s">
        <v>979</v>
      </c>
    </row>
    <row r="1757" spans="1:4" ht="12.95" customHeight="1" x14ac:dyDescent="0.25">
      <c r="A1757" s="2" t="s">
        <v>314</v>
      </c>
      <c r="B1757" s="2" t="s">
        <v>1040</v>
      </c>
      <c r="C1757" s="5" t="s">
        <v>980</v>
      </c>
      <c r="D1757" s="2" t="s">
        <v>981</v>
      </c>
    </row>
    <row r="1758" spans="1:4" ht="12.95" customHeight="1" x14ac:dyDescent="0.25">
      <c r="A1758" s="2" t="s">
        <v>314</v>
      </c>
      <c r="B1758" s="2" t="s">
        <v>1040</v>
      </c>
      <c r="C1758" s="5" t="s">
        <v>982</v>
      </c>
      <c r="D1758" s="2" t="s">
        <v>983</v>
      </c>
    </row>
    <row r="1759" spans="1:4" ht="12.95" customHeight="1" x14ac:dyDescent="0.25">
      <c r="A1759" s="2" t="s">
        <v>314</v>
      </c>
      <c r="B1759" s="2" t="s">
        <v>1040</v>
      </c>
      <c r="C1759" s="5" t="s">
        <v>984</v>
      </c>
      <c r="D1759" s="2" t="s">
        <v>3113</v>
      </c>
    </row>
    <row r="1760" spans="1:4" ht="12.95" customHeight="1" x14ac:dyDescent="0.25">
      <c r="A1760" s="2" t="s">
        <v>314</v>
      </c>
      <c r="B1760" s="2" t="s">
        <v>1040</v>
      </c>
      <c r="C1760" s="5" t="s">
        <v>986</v>
      </c>
      <c r="D1760" s="2" t="s">
        <v>3114</v>
      </c>
    </row>
    <row r="1761" spans="1:4" ht="12.95" customHeight="1" x14ac:dyDescent="0.25">
      <c r="A1761" s="2" t="s">
        <v>314</v>
      </c>
      <c r="B1761" s="2" t="s">
        <v>1040</v>
      </c>
      <c r="C1761" s="5" t="s">
        <v>988</v>
      </c>
      <c r="D1761" s="2" t="s">
        <v>3115</v>
      </c>
    </row>
    <row r="1762" spans="1:4" ht="12.95" customHeight="1" x14ac:dyDescent="0.25">
      <c r="A1762" s="2" t="s">
        <v>314</v>
      </c>
      <c r="B1762" s="2" t="s">
        <v>1040</v>
      </c>
      <c r="C1762" s="5" t="s">
        <v>990</v>
      </c>
      <c r="D1762" s="2" t="s">
        <v>3116</v>
      </c>
    </row>
    <row r="1763" spans="1:4" ht="12.95" customHeight="1" x14ac:dyDescent="0.25">
      <c r="A1763" s="2" t="s">
        <v>314</v>
      </c>
      <c r="B1763" s="2" t="s">
        <v>1040</v>
      </c>
      <c r="C1763" s="5" t="s">
        <v>992</v>
      </c>
      <c r="D1763" s="2" t="s">
        <v>3117</v>
      </c>
    </row>
    <row r="1764" spans="1:4" ht="12.95" customHeight="1" x14ac:dyDescent="0.25">
      <c r="A1764" s="2" t="s">
        <v>314</v>
      </c>
      <c r="B1764" s="2" t="s">
        <v>1040</v>
      </c>
      <c r="C1764" s="5" t="s">
        <v>994</v>
      </c>
      <c r="D1764" s="2" t="s">
        <v>3118</v>
      </c>
    </row>
    <row r="1765" spans="1:4" ht="12.95" customHeight="1" x14ac:dyDescent="0.25">
      <c r="A1765" s="2" t="s">
        <v>314</v>
      </c>
      <c r="B1765" s="2" t="s">
        <v>1040</v>
      </c>
      <c r="C1765" s="5" t="s">
        <v>1003</v>
      </c>
      <c r="D1765" s="2" t="s">
        <v>3119</v>
      </c>
    </row>
    <row r="1766" spans="1:4" ht="12.95" customHeight="1" x14ac:dyDescent="0.25">
      <c r="A1766" s="2" t="s">
        <v>314</v>
      </c>
      <c r="B1766" s="2" t="s">
        <v>1040</v>
      </c>
      <c r="C1766" s="5" t="s">
        <v>1013</v>
      </c>
      <c r="D1766" s="2" t="s">
        <v>3120</v>
      </c>
    </row>
    <row r="1767" spans="1:4" ht="12.95" customHeight="1" x14ac:dyDescent="0.25">
      <c r="A1767" s="2" t="s">
        <v>314</v>
      </c>
      <c r="B1767" s="2" t="s">
        <v>1040</v>
      </c>
      <c r="C1767" s="5" t="s">
        <v>1015</v>
      </c>
      <c r="D1767" s="2" t="s">
        <v>3121</v>
      </c>
    </row>
    <row r="1768" spans="1:4" ht="12.95" customHeight="1" x14ac:dyDescent="0.25">
      <c r="A1768" s="2" t="s">
        <v>314</v>
      </c>
      <c r="B1768" s="2" t="s">
        <v>1040</v>
      </c>
      <c r="C1768" s="5" t="s">
        <v>1017</v>
      </c>
      <c r="D1768" s="2" t="s">
        <v>3122</v>
      </c>
    </row>
    <row r="1769" spans="1:4" ht="12.95" customHeight="1" x14ac:dyDescent="0.25">
      <c r="A1769" s="2" t="s">
        <v>314</v>
      </c>
      <c r="B1769" s="2" t="s">
        <v>1040</v>
      </c>
      <c r="C1769" s="5" t="s">
        <v>1019</v>
      </c>
      <c r="D1769" s="2" t="s">
        <v>3123</v>
      </c>
    </row>
    <row r="1770" spans="1:4" ht="12.95" customHeight="1" x14ac:dyDescent="0.25">
      <c r="A1770" s="2" t="s">
        <v>316</v>
      </c>
      <c r="B1770" s="2" t="s">
        <v>1040</v>
      </c>
      <c r="C1770" s="5" t="s">
        <v>978</v>
      </c>
      <c r="D1770" s="2" t="s">
        <v>979</v>
      </c>
    </row>
    <row r="1771" spans="1:4" ht="12.95" customHeight="1" x14ac:dyDescent="0.25">
      <c r="A1771" s="2" t="s">
        <v>316</v>
      </c>
      <c r="B1771" s="2" t="s">
        <v>1040</v>
      </c>
      <c r="C1771" s="5" t="s">
        <v>980</v>
      </c>
      <c r="D1771" s="2" t="s">
        <v>981</v>
      </c>
    </row>
    <row r="1772" spans="1:4" ht="12.95" customHeight="1" x14ac:dyDescent="0.25">
      <c r="A1772" s="2" t="s">
        <v>316</v>
      </c>
      <c r="B1772" s="2" t="s">
        <v>1040</v>
      </c>
      <c r="C1772" s="5" t="s">
        <v>982</v>
      </c>
      <c r="D1772" s="2" t="s">
        <v>983</v>
      </c>
    </row>
    <row r="1773" spans="1:4" ht="12.95" customHeight="1" x14ac:dyDescent="0.25">
      <c r="A1773" s="2" t="s">
        <v>316</v>
      </c>
      <c r="B1773" s="2" t="s">
        <v>1040</v>
      </c>
      <c r="C1773" s="5" t="s">
        <v>984</v>
      </c>
      <c r="D1773" s="2" t="s">
        <v>3113</v>
      </c>
    </row>
    <row r="1774" spans="1:4" ht="12.95" customHeight="1" x14ac:dyDescent="0.25">
      <c r="A1774" s="2" t="s">
        <v>316</v>
      </c>
      <c r="B1774" s="2" t="s">
        <v>1040</v>
      </c>
      <c r="C1774" s="5" t="s">
        <v>986</v>
      </c>
      <c r="D1774" s="2" t="s">
        <v>3114</v>
      </c>
    </row>
    <row r="1775" spans="1:4" ht="12.95" customHeight="1" x14ac:dyDescent="0.25">
      <c r="A1775" s="2" t="s">
        <v>316</v>
      </c>
      <c r="B1775" s="2" t="s">
        <v>1040</v>
      </c>
      <c r="C1775" s="5" t="s">
        <v>988</v>
      </c>
      <c r="D1775" s="2" t="s">
        <v>3115</v>
      </c>
    </row>
    <row r="1776" spans="1:4" ht="12.95" customHeight="1" x14ac:dyDescent="0.25">
      <c r="A1776" s="2" t="s">
        <v>316</v>
      </c>
      <c r="B1776" s="2" t="s">
        <v>1040</v>
      </c>
      <c r="C1776" s="5" t="s">
        <v>990</v>
      </c>
      <c r="D1776" s="2" t="s">
        <v>3116</v>
      </c>
    </row>
    <row r="1777" spans="1:4" ht="12.95" customHeight="1" x14ac:dyDescent="0.25">
      <c r="A1777" s="2" t="s">
        <v>316</v>
      </c>
      <c r="B1777" s="2" t="s">
        <v>1040</v>
      </c>
      <c r="C1777" s="5" t="s">
        <v>992</v>
      </c>
      <c r="D1777" s="2" t="s">
        <v>3117</v>
      </c>
    </row>
    <row r="1778" spans="1:4" ht="12.95" customHeight="1" x14ac:dyDescent="0.25">
      <c r="A1778" s="2" t="s">
        <v>316</v>
      </c>
      <c r="B1778" s="2" t="s">
        <v>1040</v>
      </c>
      <c r="C1778" s="5" t="s">
        <v>994</v>
      </c>
      <c r="D1778" s="2" t="s">
        <v>3118</v>
      </c>
    </row>
    <row r="1779" spans="1:4" ht="12.95" customHeight="1" x14ac:dyDescent="0.25">
      <c r="A1779" s="2" t="s">
        <v>316</v>
      </c>
      <c r="B1779" s="2" t="s">
        <v>1040</v>
      </c>
      <c r="C1779" s="5" t="s">
        <v>1003</v>
      </c>
      <c r="D1779" s="2" t="s">
        <v>3119</v>
      </c>
    </row>
    <row r="1780" spans="1:4" ht="12.95" customHeight="1" x14ac:dyDescent="0.25">
      <c r="A1780" s="2" t="s">
        <v>316</v>
      </c>
      <c r="B1780" s="2" t="s">
        <v>1040</v>
      </c>
      <c r="C1780" s="5" t="s">
        <v>1013</v>
      </c>
      <c r="D1780" s="2" t="s">
        <v>3120</v>
      </c>
    </row>
    <row r="1781" spans="1:4" ht="12.95" customHeight="1" x14ac:dyDescent="0.25">
      <c r="A1781" s="2" t="s">
        <v>316</v>
      </c>
      <c r="B1781" s="2" t="s">
        <v>1040</v>
      </c>
      <c r="C1781" s="5" t="s">
        <v>1015</v>
      </c>
      <c r="D1781" s="2" t="s">
        <v>3121</v>
      </c>
    </row>
    <row r="1782" spans="1:4" ht="12.95" customHeight="1" x14ac:dyDescent="0.25">
      <c r="A1782" s="2" t="s">
        <v>316</v>
      </c>
      <c r="B1782" s="2" t="s">
        <v>1040</v>
      </c>
      <c r="C1782" s="5" t="s">
        <v>1017</v>
      </c>
      <c r="D1782" s="2" t="s">
        <v>3122</v>
      </c>
    </row>
    <row r="1783" spans="1:4" ht="12.95" customHeight="1" x14ac:dyDescent="0.25">
      <c r="A1783" s="2" t="s">
        <v>316</v>
      </c>
      <c r="B1783" s="2" t="s">
        <v>1040</v>
      </c>
      <c r="C1783" s="5" t="s">
        <v>1019</v>
      </c>
      <c r="D1783" s="2" t="s">
        <v>3123</v>
      </c>
    </row>
    <row r="1784" spans="1:4" ht="12.95" customHeight="1" x14ac:dyDescent="0.25">
      <c r="A1784" s="2" t="s">
        <v>319</v>
      </c>
      <c r="B1784" s="2" t="s">
        <v>1040</v>
      </c>
      <c r="C1784" s="5" t="s">
        <v>978</v>
      </c>
      <c r="D1784" s="2" t="s">
        <v>979</v>
      </c>
    </row>
    <row r="1785" spans="1:4" ht="12.95" customHeight="1" x14ac:dyDescent="0.25">
      <c r="A1785" s="2" t="s">
        <v>319</v>
      </c>
      <c r="B1785" s="2" t="s">
        <v>1040</v>
      </c>
      <c r="C1785" s="5" t="s">
        <v>980</v>
      </c>
      <c r="D1785" s="2" t="s">
        <v>981</v>
      </c>
    </row>
    <row r="1786" spans="1:4" ht="12.95" customHeight="1" x14ac:dyDescent="0.25">
      <c r="A1786" s="2" t="s">
        <v>319</v>
      </c>
      <c r="B1786" s="2" t="s">
        <v>1040</v>
      </c>
      <c r="C1786" s="5" t="s">
        <v>982</v>
      </c>
      <c r="D1786" s="2" t="s">
        <v>983</v>
      </c>
    </row>
    <row r="1787" spans="1:4" ht="12.95" customHeight="1" x14ac:dyDescent="0.25">
      <c r="A1787" s="2" t="s">
        <v>319</v>
      </c>
      <c r="B1787" s="2" t="s">
        <v>1040</v>
      </c>
      <c r="C1787" s="5" t="s">
        <v>984</v>
      </c>
      <c r="D1787" s="2" t="s">
        <v>3113</v>
      </c>
    </row>
    <row r="1788" spans="1:4" ht="12.95" customHeight="1" x14ac:dyDescent="0.25">
      <c r="A1788" s="2" t="s">
        <v>319</v>
      </c>
      <c r="B1788" s="2" t="s">
        <v>1040</v>
      </c>
      <c r="C1788" s="5" t="s">
        <v>986</v>
      </c>
      <c r="D1788" s="2" t="s">
        <v>3114</v>
      </c>
    </row>
    <row r="1789" spans="1:4" ht="12.95" customHeight="1" x14ac:dyDescent="0.25">
      <c r="A1789" s="2" t="s">
        <v>319</v>
      </c>
      <c r="B1789" s="2" t="s">
        <v>1040</v>
      </c>
      <c r="C1789" s="5" t="s">
        <v>988</v>
      </c>
      <c r="D1789" s="2" t="s">
        <v>3115</v>
      </c>
    </row>
    <row r="1790" spans="1:4" ht="12.95" customHeight="1" x14ac:dyDescent="0.25">
      <c r="A1790" s="2" t="s">
        <v>319</v>
      </c>
      <c r="B1790" s="2" t="s">
        <v>1040</v>
      </c>
      <c r="C1790" s="5" t="s">
        <v>990</v>
      </c>
      <c r="D1790" s="2" t="s">
        <v>3116</v>
      </c>
    </row>
    <row r="1791" spans="1:4" ht="12.95" customHeight="1" x14ac:dyDescent="0.25">
      <c r="A1791" s="2" t="s">
        <v>319</v>
      </c>
      <c r="B1791" s="2" t="s">
        <v>1040</v>
      </c>
      <c r="C1791" s="5" t="s">
        <v>992</v>
      </c>
      <c r="D1791" s="2" t="s">
        <v>3117</v>
      </c>
    </row>
    <row r="1792" spans="1:4" ht="12.95" customHeight="1" x14ac:dyDescent="0.25">
      <c r="A1792" s="2" t="s">
        <v>319</v>
      </c>
      <c r="B1792" s="2" t="s">
        <v>1040</v>
      </c>
      <c r="C1792" s="5" t="s">
        <v>994</v>
      </c>
      <c r="D1792" s="2" t="s">
        <v>3118</v>
      </c>
    </row>
    <row r="1793" spans="1:4" ht="12.95" customHeight="1" x14ac:dyDescent="0.25">
      <c r="A1793" s="2" t="s">
        <v>319</v>
      </c>
      <c r="B1793" s="2" t="s">
        <v>1040</v>
      </c>
      <c r="C1793" s="5" t="s">
        <v>1003</v>
      </c>
      <c r="D1793" s="2" t="s">
        <v>3119</v>
      </c>
    </row>
    <row r="1794" spans="1:4" ht="12.95" customHeight="1" x14ac:dyDescent="0.25">
      <c r="A1794" s="2" t="s">
        <v>319</v>
      </c>
      <c r="B1794" s="2" t="s">
        <v>1040</v>
      </c>
      <c r="C1794" s="5" t="s">
        <v>1013</v>
      </c>
      <c r="D1794" s="2" t="s">
        <v>3120</v>
      </c>
    </row>
    <row r="1795" spans="1:4" ht="12.95" customHeight="1" x14ac:dyDescent="0.25">
      <c r="A1795" s="2" t="s">
        <v>319</v>
      </c>
      <c r="B1795" s="2" t="s">
        <v>1040</v>
      </c>
      <c r="C1795" s="5" t="s">
        <v>1015</v>
      </c>
      <c r="D1795" s="2" t="s">
        <v>3121</v>
      </c>
    </row>
    <row r="1796" spans="1:4" ht="12.95" customHeight="1" x14ac:dyDescent="0.25">
      <c r="A1796" s="2" t="s">
        <v>319</v>
      </c>
      <c r="B1796" s="2" t="s">
        <v>1040</v>
      </c>
      <c r="C1796" s="5" t="s">
        <v>1017</v>
      </c>
      <c r="D1796" s="2" t="s">
        <v>3122</v>
      </c>
    </row>
    <row r="1797" spans="1:4" ht="12.95" customHeight="1" x14ac:dyDescent="0.25">
      <c r="A1797" s="2" t="s">
        <v>319</v>
      </c>
      <c r="B1797" s="2" t="s">
        <v>1040</v>
      </c>
      <c r="C1797" s="5" t="s">
        <v>1019</v>
      </c>
      <c r="D1797" s="2" t="s">
        <v>3123</v>
      </c>
    </row>
    <row r="1798" spans="1:4" ht="12.95" customHeight="1" x14ac:dyDescent="0.25">
      <c r="A1798" s="2" t="s">
        <v>321</v>
      </c>
      <c r="B1798" s="2" t="s">
        <v>1040</v>
      </c>
      <c r="C1798" s="5" t="s">
        <v>978</v>
      </c>
      <c r="D1798" s="2" t="s">
        <v>979</v>
      </c>
    </row>
    <row r="1799" spans="1:4" ht="12.95" customHeight="1" x14ac:dyDescent="0.25">
      <c r="A1799" s="2" t="s">
        <v>321</v>
      </c>
      <c r="B1799" s="2" t="s">
        <v>1040</v>
      </c>
      <c r="C1799" s="5" t="s">
        <v>980</v>
      </c>
      <c r="D1799" s="2" t="s">
        <v>981</v>
      </c>
    </row>
    <row r="1800" spans="1:4" ht="12.95" customHeight="1" x14ac:dyDescent="0.25">
      <c r="A1800" s="2" t="s">
        <v>321</v>
      </c>
      <c r="B1800" s="2" t="s">
        <v>1040</v>
      </c>
      <c r="C1800" s="5" t="s">
        <v>982</v>
      </c>
      <c r="D1800" s="2" t="s">
        <v>983</v>
      </c>
    </row>
    <row r="1801" spans="1:4" ht="12.95" customHeight="1" x14ac:dyDescent="0.25">
      <c r="A1801" s="2" t="s">
        <v>321</v>
      </c>
      <c r="B1801" s="2" t="s">
        <v>1040</v>
      </c>
      <c r="C1801" s="5" t="s">
        <v>984</v>
      </c>
      <c r="D1801" s="2" t="s">
        <v>3113</v>
      </c>
    </row>
    <row r="1802" spans="1:4" ht="12.95" customHeight="1" x14ac:dyDescent="0.25">
      <c r="A1802" s="2" t="s">
        <v>321</v>
      </c>
      <c r="B1802" s="2" t="s">
        <v>1040</v>
      </c>
      <c r="C1802" s="5" t="s">
        <v>986</v>
      </c>
      <c r="D1802" s="2" t="s">
        <v>3114</v>
      </c>
    </row>
    <row r="1803" spans="1:4" ht="12.95" customHeight="1" x14ac:dyDescent="0.25">
      <c r="A1803" s="2" t="s">
        <v>321</v>
      </c>
      <c r="B1803" s="2" t="s">
        <v>1040</v>
      </c>
      <c r="C1803" s="5" t="s">
        <v>988</v>
      </c>
      <c r="D1803" s="2" t="s">
        <v>3115</v>
      </c>
    </row>
    <row r="1804" spans="1:4" ht="12.95" customHeight="1" x14ac:dyDescent="0.25">
      <c r="A1804" s="2" t="s">
        <v>321</v>
      </c>
      <c r="B1804" s="2" t="s">
        <v>1040</v>
      </c>
      <c r="C1804" s="5" t="s">
        <v>990</v>
      </c>
      <c r="D1804" s="2" t="s">
        <v>3116</v>
      </c>
    </row>
    <row r="1805" spans="1:4" ht="12.95" customHeight="1" x14ac:dyDescent="0.25">
      <c r="A1805" s="2" t="s">
        <v>321</v>
      </c>
      <c r="B1805" s="2" t="s">
        <v>1040</v>
      </c>
      <c r="C1805" s="5" t="s">
        <v>992</v>
      </c>
      <c r="D1805" s="2" t="s">
        <v>3117</v>
      </c>
    </row>
    <row r="1806" spans="1:4" ht="12.95" customHeight="1" x14ac:dyDescent="0.25">
      <c r="A1806" s="2" t="s">
        <v>321</v>
      </c>
      <c r="B1806" s="2" t="s">
        <v>1040</v>
      </c>
      <c r="C1806" s="5" t="s">
        <v>994</v>
      </c>
      <c r="D1806" s="2" t="s">
        <v>3118</v>
      </c>
    </row>
    <row r="1807" spans="1:4" ht="12.95" customHeight="1" x14ac:dyDescent="0.25">
      <c r="A1807" s="2" t="s">
        <v>321</v>
      </c>
      <c r="B1807" s="2" t="s">
        <v>1040</v>
      </c>
      <c r="C1807" s="5" t="s">
        <v>1003</v>
      </c>
      <c r="D1807" s="2" t="s">
        <v>3119</v>
      </c>
    </row>
    <row r="1808" spans="1:4" ht="12.95" customHeight="1" x14ac:dyDescent="0.25">
      <c r="A1808" s="2" t="s">
        <v>321</v>
      </c>
      <c r="B1808" s="2" t="s">
        <v>1040</v>
      </c>
      <c r="C1808" s="5" t="s">
        <v>1013</v>
      </c>
      <c r="D1808" s="2" t="s">
        <v>3120</v>
      </c>
    </row>
    <row r="1809" spans="1:4" ht="12.95" customHeight="1" x14ac:dyDescent="0.25">
      <c r="A1809" s="2" t="s">
        <v>321</v>
      </c>
      <c r="B1809" s="2" t="s">
        <v>1040</v>
      </c>
      <c r="C1809" s="5" t="s">
        <v>1015</v>
      </c>
      <c r="D1809" s="2" t="s">
        <v>3121</v>
      </c>
    </row>
    <row r="1810" spans="1:4" ht="12.95" customHeight="1" x14ac:dyDescent="0.25">
      <c r="A1810" s="2" t="s">
        <v>321</v>
      </c>
      <c r="B1810" s="2" t="s">
        <v>1040</v>
      </c>
      <c r="C1810" s="5" t="s">
        <v>1017</v>
      </c>
      <c r="D1810" s="2" t="s">
        <v>3122</v>
      </c>
    </row>
    <row r="1811" spans="1:4" ht="12.95" customHeight="1" x14ac:dyDescent="0.25">
      <c r="A1811" s="2" t="s">
        <v>321</v>
      </c>
      <c r="B1811" s="2" t="s">
        <v>1040</v>
      </c>
      <c r="C1811" s="5" t="s">
        <v>1019</v>
      </c>
      <c r="D1811" s="2" t="s">
        <v>3123</v>
      </c>
    </row>
    <row r="1812" spans="1:4" ht="12.95" customHeight="1" x14ac:dyDescent="0.25">
      <c r="A1812" s="2" t="s">
        <v>323</v>
      </c>
      <c r="B1812" s="2" t="s">
        <v>1040</v>
      </c>
      <c r="C1812" s="5" t="s">
        <v>978</v>
      </c>
      <c r="D1812" s="2" t="s">
        <v>979</v>
      </c>
    </row>
    <row r="1813" spans="1:4" ht="12.95" customHeight="1" x14ac:dyDescent="0.25">
      <c r="A1813" s="2" t="s">
        <v>323</v>
      </c>
      <c r="B1813" s="2" t="s">
        <v>1040</v>
      </c>
      <c r="C1813" s="5" t="s">
        <v>980</v>
      </c>
      <c r="D1813" s="2" t="s">
        <v>981</v>
      </c>
    </row>
    <row r="1814" spans="1:4" ht="12.95" customHeight="1" x14ac:dyDescent="0.25">
      <c r="A1814" s="2" t="s">
        <v>323</v>
      </c>
      <c r="B1814" s="2" t="s">
        <v>1040</v>
      </c>
      <c r="C1814" s="5" t="s">
        <v>982</v>
      </c>
      <c r="D1814" s="2" t="s">
        <v>983</v>
      </c>
    </row>
    <row r="1815" spans="1:4" ht="12.95" customHeight="1" x14ac:dyDescent="0.25">
      <c r="A1815" s="2" t="s">
        <v>323</v>
      </c>
      <c r="B1815" s="2" t="s">
        <v>1040</v>
      </c>
      <c r="C1815" s="5" t="s">
        <v>984</v>
      </c>
      <c r="D1815" s="2" t="s">
        <v>3113</v>
      </c>
    </row>
    <row r="1816" spans="1:4" ht="12.95" customHeight="1" x14ac:dyDescent="0.25">
      <c r="A1816" s="2" t="s">
        <v>323</v>
      </c>
      <c r="B1816" s="2" t="s">
        <v>1040</v>
      </c>
      <c r="C1816" s="5" t="s">
        <v>986</v>
      </c>
      <c r="D1816" s="2" t="s">
        <v>3114</v>
      </c>
    </row>
    <row r="1817" spans="1:4" ht="12.95" customHeight="1" x14ac:dyDescent="0.25">
      <c r="A1817" s="2" t="s">
        <v>323</v>
      </c>
      <c r="B1817" s="2" t="s">
        <v>1040</v>
      </c>
      <c r="C1817" s="5" t="s">
        <v>988</v>
      </c>
      <c r="D1817" s="2" t="s">
        <v>3115</v>
      </c>
    </row>
    <row r="1818" spans="1:4" ht="12.95" customHeight="1" x14ac:dyDescent="0.25">
      <c r="A1818" s="2" t="s">
        <v>323</v>
      </c>
      <c r="B1818" s="2" t="s">
        <v>1040</v>
      </c>
      <c r="C1818" s="5" t="s">
        <v>990</v>
      </c>
      <c r="D1818" s="2" t="s">
        <v>3116</v>
      </c>
    </row>
    <row r="1819" spans="1:4" ht="12.95" customHeight="1" x14ac:dyDescent="0.25">
      <c r="A1819" s="2" t="s">
        <v>323</v>
      </c>
      <c r="B1819" s="2" t="s">
        <v>1040</v>
      </c>
      <c r="C1819" s="5" t="s">
        <v>992</v>
      </c>
      <c r="D1819" s="2" t="s">
        <v>3117</v>
      </c>
    </row>
    <row r="1820" spans="1:4" ht="12.95" customHeight="1" x14ac:dyDescent="0.25">
      <c r="A1820" s="2" t="s">
        <v>323</v>
      </c>
      <c r="B1820" s="2" t="s">
        <v>1040</v>
      </c>
      <c r="C1820" s="5" t="s">
        <v>994</v>
      </c>
      <c r="D1820" s="2" t="s">
        <v>3118</v>
      </c>
    </row>
    <row r="1821" spans="1:4" ht="12.95" customHeight="1" x14ac:dyDescent="0.25">
      <c r="A1821" s="2" t="s">
        <v>323</v>
      </c>
      <c r="B1821" s="2" t="s">
        <v>1040</v>
      </c>
      <c r="C1821" s="5" t="s">
        <v>1003</v>
      </c>
      <c r="D1821" s="2" t="s">
        <v>3119</v>
      </c>
    </row>
    <row r="1822" spans="1:4" ht="12.95" customHeight="1" x14ac:dyDescent="0.25">
      <c r="A1822" s="2" t="s">
        <v>323</v>
      </c>
      <c r="B1822" s="2" t="s">
        <v>1040</v>
      </c>
      <c r="C1822" s="5" t="s">
        <v>1013</v>
      </c>
      <c r="D1822" s="2" t="s">
        <v>3120</v>
      </c>
    </row>
    <row r="1823" spans="1:4" ht="12.95" customHeight="1" x14ac:dyDescent="0.25">
      <c r="A1823" s="2" t="s">
        <v>323</v>
      </c>
      <c r="B1823" s="2" t="s">
        <v>1040</v>
      </c>
      <c r="C1823" s="5" t="s">
        <v>1015</v>
      </c>
      <c r="D1823" s="2" t="s">
        <v>3121</v>
      </c>
    </row>
    <row r="1824" spans="1:4" ht="12.95" customHeight="1" x14ac:dyDescent="0.25">
      <c r="A1824" s="2" t="s">
        <v>323</v>
      </c>
      <c r="B1824" s="2" t="s">
        <v>1040</v>
      </c>
      <c r="C1824" s="5" t="s">
        <v>1017</v>
      </c>
      <c r="D1824" s="2" t="s">
        <v>3122</v>
      </c>
    </row>
    <row r="1825" spans="1:4" ht="12.95" customHeight="1" x14ac:dyDescent="0.25">
      <c r="A1825" s="2" t="s">
        <v>323</v>
      </c>
      <c r="B1825" s="2" t="s">
        <v>1040</v>
      </c>
      <c r="C1825" s="5" t="s">
        <v>1019</v>
      </c>
      <c r="D1825" s="2" t="s">
        <v>3123</v>
      </c>
    </row>
    <row r="1826" spans="1:4" ht="12.95" customHeight="1" x14ac:dyDescent="0.25">
      <c r="A1826" s="2" t="s">
        <v>325</v>
      </c>
      <c r="B1826" s="2" t="s">
        <v>1040</v>
      </c>
      <c r="C1826" s="5" t="s">
        <v>978</v>
      </c>
      <c r="D1826" s="2" t="s">
        <v>979</v>
      </c>
    </row>
    <row r="1827" spans="1:4" ht="12.95" customHeight="1" x14ac:dyDescent="0.25">
      <c r="A1827" s="2" t="s">
        <v>325</v>
      </c>
      <c r="B1827" s="2" t="s">
        <v>1040</v>
      </c>
      <c r="C1827" s="5" t="s">
        <v>980</v>
      </c>
      <c r="D1827" s="2" t="s">
        <v>981</v>
      </c>
    </row>
    <row r="1828" spans="1:4" ht="12.95" customHeight="1" x14ac:dyDescent="0.25">
      <c r="A1828" s="2" t="s">
        <v>325</v>
      </c>
      <c r="B1828" s="2" t="s">
        <v>1040</v>
      </c>
      <c r="C1828" s="5" t="s">
        <v>982</v>
      </c>
      <c r="D1828" s="2" t="s">
        <v>983</v>
      </c>
    </row>
    <row r="1829" spans="1:4" ht="12.95" customHeight="1" x14ac:dyDescent="0.25">
      <c r="A1829" s="2" t="s">
        <v>325</v>
      </c>
      <c r="B1829" s="2" t="s">
        <v>1040</v>
      </c>
      <c r="C1829" s="5" t="s">
        <v>984</v>
      </c>
      <c r="D1829" s="2" t="s">
        <v>3113</v>
      </c>
    </row>
    <row r="1830" spans="1:4" ht="12.95" customHeight="1" x14ac:dyDescent="0.25">
      <c r="A1830" s="2" t="s">
        <v>325</v>
      </c>
      <c r="B1830" s="2" t="s">
        <v>1040</v>
      </c>
      <c r="C1830" s="5" t="s">
        <v>986</v>
      </c>
      <c r="D1830" s="2" t="s">
        <v>3114</v>
      </c>
    </row>
    <row r="1831" spans="1:4" ht="12.95" customHeight="1" x14ac:dyDescent="0.25">
      <c r="A1831" s="2" t="s">
        <v>325</v>
      </c>
      <c r="B1831" s="2" t="s">
        <v>1040</v>
      </c>
      <c r="C1831" s="5" t="s">
        <v>988</v>
      </c>
      <c r="D1831" s="2" t="s">
        <v>3115</v>
      </c>
    </row>
    <row r="1832" spans="1:4" ht="12.95" customHeight="1" x14ac:dyDescent="0.25">
      <c r="A1832" s="2" t="s">
        <v>325</v>
      </c>
      <c r="B1832" s="2" t="s">
        <v>1040</v>
      </c>
      <c r="C1832" s="5" t="s">
        <v>990</v>
      </c>
      <c r="D1832" s="2" t="s">
        <v>3116</v>
      </c>
    </row>
    <row r="1833" spans="1:4" ht="12.95" customHeight="1" x14ac:dyDescent="0.25">
      <c r="A1833" s="2" t="s">
        <v>325</v>
      </c>
      <c r="B1833" s="2" t="s">
        <v>1040</v>
      </c>
      <c r="C1833" s="5" t="s">
        <v>992</v>
      </c>
      <c r="D1833" s="2" t="s">
        <v>3117</v>
      </c>
    </row>
    <row r="1834" spans="1:4" ht="12.95" customHeight="1" x14ac:dyDescent="0.25">
      <c r="A1834" s="2" t="s">
        <v>325</v>
      </c>
      <c r="B1834" s="2" t="s">
        <v>1040</v>
      </c>
      <c r="C1834" s="5" t="s">
        <v>994</v>
      </c>
      <c r="D1834" s="2" t="s">
        <v>3118</v>
      </c>
    </row>
    <row r="1835" spans="1:4" ht="12.95" customHeight="1" x14ac:dyDescent="0.25">
      <c r="A1835" s="2" t="s">
        <v>325</v>
      </c>
      <c r="B1835" s="2" t="s">
        <v>1040</v>
      </c>
      <c r="C1835" s="5" t="s">
        <v>1003</v>
      </c>
      <c r="D1835" s="2" t="s">
        <v>3119</v>
      </c>
    </row>
    <row r="1836" spans="1:4" ht="12.95" customHeight="1" x14ac:dyDescent="0.25">
      <c r="A1836" s="2" t="s">
        <v>325</v>
      </c>
      <c r="B1836" s="2" t="s">
        <v>1040</v>
      </c>
      <c r="C1836" s="5" t="s">
        <v>1013</v>
      </c>
      <c r="D1836" s="2" t="s">
        <v>3120</v>
      </c>
    </row>
    <row r="1837" spans="1:4" ht="12.95" customHeight="1" x14ac:dyDescent="0.25">
      <c r="A1837" s="2" t="s">
        <v>325</v>
      </c>
      <c r="B1837" s="2" t="s">
        <v>1040</v>
      </c>
      <c r="C1837" s="5" t="s">
        <v>1015</v>
      </c>
      <c r="D1837" s="2" t="s">
        <v>3121</v>
      </c>
    </row>
    <row r="1838" spans="1:4" ht="12.95" customHeight="1" x14ac:dyDescent="0.25">
      <c r="A1838" s="2" t="s">
        <v>325</v>
      </c>
      <c r="B1838" s="2" t="s">
        <v>1040</v>
      </c>
      <c r="C1838" s="5" t="s">
        <v>1017</v>
      </c>
      <c r="D1838" s="2" t="s">
        <v>3122</v>
      </c>
    </row>
    <row r="1839" spans="1:4" ht="12.95" customHeight="1" x14ac:dyDescent="0.25">
      <c r="A1839" s="2" t="s">
        <v>325</v>
      </c>
      <c r="B1839" s="2" t="s">
        <v>1040</v>
      </c>
      <c r="C1839" s="5" t="s">
        <v>1019</v>
      </c>
      <c r="D1839" s="2" t="s">
        <v>3123</v>
      </c>
    </row>
    <row r="1840" spans="1:4" ht="12.95" customHeight="1" x14ac:dyDescent="0.25">
      <c r="A1840" s="2" t="s">
        <v>327</v>
      </c>
      <c r="B1840" s="2" t="s">
        <v>1040</v>
      </c>
      <c r="C1840" s="5" t="s">
        <v>978</v>
      </c>
      <c r="D1840" s="2" t="s">
        <v>979</v>
      </c>
    </row>
    <row r="1841" spans="1:4" ht="12.95" customHeight="1" x14ac:dyDescent="0.25">
      <c r="A1841" s="2" t="s">
        <v>327</v>
      </c>
      <c r="B1841" s="2" t="s">
        <v>1040</v>
      </c>
      <c r="C1841" s="5" t="s">
        <v>980</v>
      </c>
      <c r="D1841" s="2" t="s">
        <v>981</v>
      </c>
    </row>
    <row r="1842" spans="1:4" ht="12.95" customHeight="1" x14ac:dyDescent="0.25">
      <c r="A1842" s="2" t="s">
        <v>327</v>
      </c>
      <c r="B1842" s="2" t="s">
        <v>1040</v>
      </c>
      <c r="C1842" s="5" t="s">
        <v>982</v>
      </c>
      <c r="D1842" s="2" t="s">
        <v>983</v>
      </c>
    </row>
    <row r="1843" spans="1:4" ht="12.95" customHeight="1" x14ac:dyDescent="0.25">
      <c r="A1843" s="2" t="s">
        <v>327</v>
      </c>
      <c r="B1843" s="2" t="s">
        <v>1040</v>
      </c>
      <c r="C1843" s="5" t="s">
        <v>984</v>
      </c>
      <c r="D1843" s="2" t="s">
        <v>3113</v>
      </c>
    </row>
    <row r="1844" spans="1:4" ht="12.95" customHeight="1" x14ac:dyDescent="0.25">
      <c r="A1844" s="2" t="s">
        <v>327</v>
      </c>
      <c r="B1844" s="2" t="s">
        <v>1040</v>
      </c>
      <c r="C1844" s="5" t="s">
        <v>986</v>
      </c>
      <c r="D1844" s="2" t="s">
        <v>3114</v>
      </c>
    </row>
    <row r="1845" spans="1:4" ht="12.95" customHeight="1" x14ac:dyDescent="0.25">
      <c r="A1845" s="2" t="s">
        <v>327</v>
      </c>
      <c r="B1845" s="2" t="s">
        <v>1040</v>
      </c>
      <c r="C1845" s="5" t="s">
        <v>988</v>
      </c>
      <c r="D1845" s="2" t="s">
        <v>3115</v>
      </c>
    </row>
    <row r="1846" spans="1:4" ht="12.95" customHeight="1" x14ac:dyDescent="0.25">
      <c r="A1846" s="2" t="s">
        <v>327</v>
      </c>
      <c r="B1846" s="2" t="s">
        <v>1040</v>
      </c>
      <c r="C1846" s="5" t="s">
        <v>990</v>
      </c>
      <c r="D1846" s="2" t="s">
        <v>3116</v>
      </c>
    </row>
    <row r="1847" spans="1:4" ht="12.95" customHeight="1" x14ac:dyDescent="0.25">
      <c r="A1847" s="2" t="s">
        <v>327</v>
      </c>
      <c r="B1847" s="2" t="s">
        <v>1040</v>
      </c>
      <c r="C1847" s="5" t="s">
        <v>992</v>
      </c>
      <c r="D1847" s="2" t="s">
        <v>3117</v>
      </c>
    </row>
    <row r="1848" spans="1:4" ht="12.95" customHeight="1" x14ac:dyDescent="0.25">
      <c r="A1848" s="2" t="s">
        <v>327</v>
      </c>
      <c r="B1848" s="2" t="s">
        <v>1040</v>
      </c>
      <c r="C1848" s="5" t="s">
        <v>994</v>
      </c>
      <c r="D1848" s="2" t="s">
        <v>3118</v>
      </c>
    </row>
    <row r="1849" spans="1:4" ht="12.95" customHeight="1" x14ac:dyDescent="0.25">
      <c r="A1849" s="2" t="s">
        <v>327</v>
      </c>
      <c r="B1849" s="2" t="s">
        <v>1040</v>
      </c>
      <c r="C1849" s="5" t="s">
        <v>1003</v>
      </c>
      <c r="D1849" s="2" t="s">
        <v>3119</v>
      </c>
    </row>
    <row r="1850" spans="1:4" ht="12.95" customHeight="1" x14ac:dyDescent="0.25">
      <c r="A1850" s="2" t="s">
        <v>327</v>
      </c>
      <c r="B1850" s="2" t="s">
        <v>1040</v>
      </c>
      <c r="C1850" s="5" t="s">
        <v>1013</v>
      </c>
      <c r="D1850" s="2" t="s">
        <v>3120</v>
      </c>
    </row>
    <row r="1851" spans="1:4" ht="12.95" customHeight="1" x14ac:dyDescent="0.25">
      <c r="A1851" s="2" t="s">
        <v>327</v>
      </c>
      <c r="B1851" s="2" t="s">
        <v>1040</v>
      </c>
      <c r="C1851" s="5" t="s">
        <v>1015</v>
      </c>
      <c r="D1851" s="2" t="s">
        <v>3121</v>
      </c>
    </row>
    <row r="1852" spans="1:4" ht="12.95" customHeight="1" x14ac:dyDescent="0.25">
      <c r="A1852" s="2" t="s">
        <v>327</v>
      </c>
      <c r="B1852" s="2" t="s">
        <v>1040</v>
      </c>
      <c r="C1852" s="5" t="s">
        <v>1017</v>
      </c>
      <c r="D1852" s="2" t="s">
        <v>3122</v>
      </c>
    </row>
    <row r="1853" spans="1:4" ht="12.95" customHeight="1" x14ac:dyDescent="0.25">
      <c r="A1853" s="2" t="s">
        <v>327</v>
      </c>
      <c r="B1853" s="2" t="s">
        <v>1040</v>
      </c>
      <c r="C1853" s="5" t="s">
        <v>1019</v>
      </c>
      <c r="D1853" s="2" t="s">
        <v>3123</v>
      </c>
    </row>
    <row r="1854" spans="1:4" ht="12.95" customHeight="1" x14ac:dyDescent="0.25">
      <c r="A1854" s="2" t="s">
        <v>329</v>
      </c>
      <c r="B1854" s="2" t="s">
        <v>1040</v>
      </c>
      <c r="C1854" s="5" t="s">
        <v>978</v>
      </c>
      <c r="D1854" s="2" t="s">
        <v>979</v>
      </c>
    </row>
    <row r="1855" spans="1:4" ht="12.95" customHeight="1" x14ac:dyDescent="0.25">
      <c r="A1855" s="2" t="s">
        <v>329</v>
      </c>
      <c r="B1855" s="2" t="s">
        <v>1040</v>
      </c>
      <c r="C1855" s="5" t="s">
        <v>980</v>
      </c>
      <c r="D1855" s="2" t="s">
        <v>981</v>
      </c>
    </row>
    <row r="1856" spans="1:4" ht="12.95" customHeight="1" x14ac:dyDescent="0.25">
      <c r="A1856" s="2" t="s">
        <v>329</v>
      </c>
      <c r="B1856" s="2" t="s">
        <v>1040</v>
      </c>
      <c r="C1856" s="5" t="s">
        <v>982</v>
      </c>
      <c r="D1856" s="2" t="s">
        <v>983</v>
      </c>
    </row>
    <row r="1857" spans="1:4" ht="12.95" customHeight="1" x14ac:dyDescent="0.25">
      <c r="A1857" s="2" t="s">
        <v>329</v>
      </c>
      <c r="B1857" s="2" t="s">
        <v>1040</v>
      </c>
      <c r="C1857" s="5" t="s">
        <v>984</v>
      </c>
      <c r="D1857" s="2" t="s">
        <v>3113</v>
      </c>
    </row>
    <row r="1858" spans="1:4" ht="12.95" customHeight="1" x14ac:dyDescent="0.25">
      <c r="A1858" s="2" t="s">
        <v>329</v>
      </c>
      <c r="B1858" s="2" t="s">
        <v>1040</v>
      </c>
      <c r="C1858" s="5" t="s">
        <v>986</v>
      </c>
      <c r="D1858" s="2" t="s">
        <v>3114</v>
      </c>
    </row>
    <row r="1859" spans="1:4" ht="12.95" customHeight="1" x14ac:dyDescent="0.25">
      <c r="A1859" s="2" t="s">
        <v>329</v>
      </c>
      <c r="B1859" s="2" t="s">
        <v>1040</v>
      </c>
      <c r="C1859" s="5" t="s">
        <v>988</v>
      </c>
      <c r="D1859" s="2" t="s">
        <v>3115</v>
      </c>
    </row>
    <row r="1860" spans="1:4" ht="12.95" customHeight="1" x14ac:dyDescent="0.25">
      <c r="A1860" s="2" t="s">
        <v>329</v>
      </c>
      <c r="B1860" s="2" t="s">
        <v>1040</v>
      </c>
      <c r="C1860" s="5" t="s">
        <v>990</v>
      </c>
      <c r="D1860" s="2" t="s">
        <v>3116</v>
      </c>
    </row>
    <row r="1861" spans="1:4" ht="12.95" customHeight="1" x14ac:dyDescent="0.25">
      <c r="A1861" s="2" t="s">
        <v>329</v>
      </c>
      <c r="B1861" s="2" t="s">
        <v>1040</v>
      </c>
      <c r="C1861" s="5" t="s">
        <v>992</v>
      </c>
      <c r="D1861" s="2" t="s">
        <v>3117</v>
      </c>
    </row>
    <row r="1862" spans="1:4" ht="12.95" customHeight="1" x14ac:dyDescent="0.25">
      <c r="A1862" s="2" t="s">
        <v>329</v>
      </c>
      <c r="B1862" s="2" t="s">
        <v>1040</v>
      </c>
      <c r="C1862" s="5" t="s">
        <v>994</v>
      </c>
      <c r="D1862" s="2" t="s">
        <v>3118</v>
      </c>
    </row>
    <row r="1863" spans="1:4" ht="12.95" customHeight="1" x14ac:dyDescent="0.25">
      <c r="A1863" s="2" t="s">
        <v>329</v>
      </c>
      <c r="B1863" s="2" t="s">
        <v>1040</v>
      </c>
      <c r="C1863" s="5" t="s">
        <v>1003</v>
      </c>
      <c r="D1863" s="2" t="s">
        <v>3119</v>
      </c>
    </row>
    <row r="1864" spans="1:4" ht="12.95" customHeight="1" x14ac:dyDescent="0.25">
      <c r="A1864" s="2" t="s">
        <v>329</v>
      </c>
      <c r="B1864" s="2" t="s">
        <v>1040</v>
      </c>
      <c r="C1864" s="5" t="s">
        <v>1013</v>
      </c>
      <c r="D1864" s="2" t="s">
        <v>3120</v>
      </c>
    </row>
    <row r="1865" spans="1:4" ht="12.95" customHeight="1" x14ac:dyDescent="0.25">
      <c r="A1865" s="2" t="s">
        <v>329</v>
      </c>
      <c r="B1865" s="2" t="s">
        <v>1040</v>
      </c>
      <c r="C1865" s="5" t="s">
        <v>1015</v>
      </c>
      <c r="D1865" s="2" t="s">
        <v>3121</v>
      </c>
    </row>
    <row r="1866" spans="1:4" ht="12.95" customHeight="1" x14ac:dyDescent="0.25">
      <c r="A1866" s="2" t="s">
        <v>329</v>
      </c>
      <c r="B1866" s="2" t="s">
        <v>1040</v>
      </c>
      <c r="C1866" s="5" t="s">
        <v>1017</v>
      </c>
      <c r="D1866" s="2" t="s">
        <v>3122</v>
      </c>
    </row>
    <row r="1867" spans="1:4" ht="12.95" customHeight="1" x14ac:dyDescent="0.25">
      <c r="A1867" s="2" t="s">
        <v>329</v>
      </c>
      <c r="B1867" s="2" t="s">
        <v>1040</v>
      </c>
      <c r="C1867" s="5" t="s">
        <v>1019</v>
      </c>
      <c r="D1867" s="2" t="s">
        <v>3123</v>
      </c>
    </row>
    <row r="1868" spans="1:4" ht="12.95" customHeight="1" x14ac:dyDescent="0.25">
      <c r="A1868" s="2" t="s">
        <v>331</v>
      </c>
      <c r="B1868" s="2" t="s">
        <v>977</v>
      </c>
      <c r="C1868" s="5" t="s">
        <v>982</v>
      </c>
      <c r="D1868" s="2" t="s">
        <v>983</v>
      </c>
    </row>
    <row r="1869" spans="1:4" ht="12.95" customHeight="1" x14ac:dyDescent="0.25">
      <c r="A1869" s="2" t="s">
        <v>334</v>
      </c>
      <c r="B1869" s="2" t="s">
        <v>1040</v>
      </c>
      <c r="C1869" s="5" t="s">
        <v>978</v>
      </c>
      <c r="D1869" s="2" t="s">
        <v>1047</v>
      </c>
    </row>
    <row r="1870" spans="1:4" ht="12.95" customHeight="1" x14ac:dyDescent="0.25">
      <c r="A1870" s="2" t="s">
        <v>334</v>
      </c>
      <c r="B1870" s="2" t="s">
        <v>1040</v>
      </c>
      <c r="C1870" s="5" t="s">
        <v>980</v>
      </c>
      <c r="D1870" s="2" t="s">
        <v>1041</v>
      </c>
    </row>
    <row r="1871" spans="1:4" ht="12.95" customHeight="1" x14ac:dyDescent="0.25">
      <c r="A1871" s="2" t="s">
        <v>334</v>
      </c>
      <c r="B1871" s="2" t="s">
        <v>1040</v>
      </c>
      <c r="C1871" s="5" t="s">
        <v>982</v>
      </c>
      <c r="D1871" s="2" t="s">
        <v>983</v>
      </c>
    </row>
    <row r="1872" spans="1:4" ht="12.95" customHeight="1" x14ac:dyDescent="0.25">
      <c r="A1872" s="2" t="s">
        <v>334</v>
      </c>
      <c r="B1872" s="2" t="s">
        <v>1040</v>
      </c>
      <c r="C1872" s="5" t="s">
        <v>984</v>
      </c>
      <c r="D1872" s="2" t="s">
        <v>3124</v>
      </c>
    </row>
    <row r="1873" spans="1:4" ht="12.95" customHeight="1" x14ac:dyDescent="0.25">
      <c r="A1873" s="2" t="s">
        <v>334</v>
      </c>
      <c r="B1873" s="2" t="s">
        <v>1040</v>
      </c>
      <c r="C1873" s="5" t="s">
        <v>986</v>
      </c>
      <c r="D1873" s="2" t="s">
        <v>1153</v>
      </c>
    </row>
    <row r="1874" spans="1:4" ht="12.95" customHeight="1" x14ac:dyDescent="0.25">
      <c r="A1874" s="2" t="s">
        <v>337</v>
      </c>
      <c r="B1874" s="2" t="s">
        <v>1040</v>
      </c>
      <c r="C1874" s="5" t="s">
        <v>984</v>
      </c>
      <c r="D1874" s="2" t="s">
        <v>3125</v>
      </c>
    </row>
    <row r="1875" spans="1:4" ht="12.95" customHeight="1" x14ac:dyDescent="0.25">
      <c r="A1875" s="2" t="s">
        <v>337</v>
      </c>
      <c r="B1875" s="2" t="s">
        <v>1040</v>
      </c>
      <c r="C1875" s="5" t="s">
        <v>986</v>
      </c>
      <c r="D1875" s="2" t="s">
        <v>3126</v>
      </c>
    </row>
    <row r="1876" spans="1:4" ht="12.95" customHeight="1" x14ac:dyDescent="0.25">
      <c r="A1876" s="2" t="s">
        <v>342</v>
      </c>
      <c r="B1876" s="2" t="s">
        <v>1040</v>
      </c>
      <c r="C1876" s="5" t="s">
        <v>978</v>
      </c>
      <c r="D1876" s="2" t="s">
        <v>1047</v>
      </c>
    </row>
    <row r="1877" spans="1:4" ht="12.95" customHeight="1" x14ac:dyDescent="0.25">
      <c r="A1877" s="2" t="s">
        <v>342</v>
      </c>
      <c r="B1877" s="2" t="s">
        <v>1040</v>
      </c>
      <c r="C1877" s="5" t="s">
        <v>980</v>
      </c>
      <c r="D1877" s="2" t="s">
        <v>1041</v>
      </c>
    </row>
    <row r="1878" spans="1:4" ht="12.95" customHeight="1" x14ac:dyDescent="0.25">
      <c r="A1878" s="2" t="s">
        <v>342</v>
      </c>
      <c r="B1878" s="2" t="s">
        <v>1040</v>
      </c>
      <c r="C1878" s="5" t="s">
        <v>982</v>
      </c>
      <c r="D1878" s="2" t="s">
        <v>983</v>
      </c>
    </row>
    <row r="1879" spans="1:4" ht="12.95" customHeight="1" x14ac:dyDescent="0.25">
      <c r="A1879" s="2" t="s">
        <v>346</v>
      </c>
      <c r="B1879" s="2" t="s">
        <v>1040</v>
      </c>
      <c r="C1879" s="5" t="s">
        <v>978</v>
      </c>
      <c r="D1879" s="2" t="s">
        <v>1047</v>
      </c>
    </row>
    <row r="1880" spans="1:4" ht="12.95" customHeight="1" x14ac:dyDescent="0.25">
      <c r="A1880" s="2" t="s">
        <v>346</v>
      </c>
      <c r="B1880" s="2" t="s">
        <v>1040</v>
      </c>
      <c r="C1880" s="5" t="s">
        <v>980</v>
      </c>
      <c r="D1880" s="2" t="s">
        <v>1041</v>
      </c>
    </row>
    <row r="1881" spans="1:4" ht="12.95" customHeight="1" x14ac:dyDescent="0.25">
      <c r="A1881" s="2" t="s">
        <v>346</v>
      </c>
      <c r="B1881" s="2" t="s">
        <v>1040</v>
      </c>
      <c r="C1881" s="5" t="s">
        <v>982</v>
      </c>
      <c r="D1881" s="2" t="s">
        <v>983</v>
      </c>
    </row>
    <row r="1882" spans="1:4" ht="12.95" customHeight="1" x14ac:dyDescent="0.25">
      <c r="A1882" s="2" t="s">
        <v>349</v>
      </c>
      <c r="B1882" s="2" t="s">
        <v>1040</v>
      </c>
      <c r="C1882" s="5" t="s">
        <v>996</v>
      </c>
      <c r="D1882" s="2" t="s">
        <v>997</v>
      </c>
    </row>
    <row r="1883" spans="1:4" ht="12.95" customHeight="1" x14ac:dyDescent="0.25">
      <c r="A1883" s="2" t="s">
        <v>349</v>
      </c>
      <c r="B1883" s="2" t="s">
        <v>1040</v>
      </c>
      <c r="C1883" s="5" t="s">
        <v>982</v>
      </c>
      <c r="D1883" s="2" t="s">
        <v>983</v>
      </c>
    </row>
    <row r="1884" spans="1:4" ht="12.95" customHeight="1" x14ac:dyDescent="0.25">
      <c r="A1884" s="2" t="s">
        <v>351</v>
      </c>
      <c r="B1884" s="2" t="s">
        <v>1040</v>
      </c>
      <c r="C1884" s="5" t="s">
        <v>978</v>
      </c>
      <c r="D1884" s="2" t="s">
        <v>1047</v>
      </c>
    </row>
    <row r="1885" spans="1:4" ht="12.95" customHeight="1" x14ac:dyDescent="0.25">
      <c r="A1885" s="2" t="s">
        <v>351</v>
      </c>
      <c r="B1885" s="2" t="s">
        <v>1040</v>
      </c>
      <c r="C1885" s="5" t="s">
        <v>980</v>
      </c>
      <c r="D1885" s="2" t="s">
        <v>1041</v>
      </c>
    </row>
    <row r="1886" spans="1:4" ht="12.95" customHeight="1" x14ac:dyDescent="0.25">
      <c r="A1886" s="2" t="s">
        <v>351</v>
      </c>
      <c r="B1886" s="2" t="s">
        <v>1040</v>
      </c>
      <c r="C1886" s="5" t="s">
        <v>982</v>
      </c>
      <c r="D1886" s="2" t="s">
        <v>983</v>
      </c>
    </row>
    <row r="1887" spans="1:4" ht="12.95" customHeight="1" x14ac:dyDescent="0.25">
      <c r="A1887" s="2" t="s">
        <v>351</v>
      </c>
      <c r="B1887" s="2" t="s">
        <v>1040</v>
      </c>
      <c r="C1887" s="5" t="s">
        <v>984</v>
      </c>
      <c r="D1887" s="2" t="s">
        <v>3127</v>
      </c>
    </row>
    <row r="1888" spans="1:4" ht="12.95" customHeight="1" x14ac:dyDescent="0.25">
      <c r="A1888" s="2" t="s">
        <v>351</v>
      </c>
      <c r="B1888" s="2" t="s">
        <v>1040</v>
      </c>
      <c r="C1888" s="5" t="s">
        <v>986</v>
      </c>
      <c r="D1888" s="2" t="s">
        <v>84</v>
      </c>
    </row>
    <row r="1889" spans="1:4" ht="12.95" customHeight="1" x14ac:dyDescent="0.25">
      <c r="A1889" s="2" t="s">
        <v>351</v>
      </c>
      <c r="B1889" s="2" t="s">
        <v>1040</v>
      </c>
      <c r="C1889" s="5" t="s">
        <v>988</v>
      </c>
      <c r="D1889" s="2" t="s">
        <v>3128</v>
      </c>
    </row>
    <row r="1890" spans="1:4" ht="12.95" customHeight="1" x14ac:dyDescent="0.25">
      <c r="A1890" s="2" t="s">
        <v>351</v>
      </c>
      <c r="B1890" s="2" t="s">
        <v>1040</v>
      </c>
      <c r="C1890" s="5" t="s">
        <v>990</v>
      </c>
      <c r="D1890" s="2" t="s">
        <v>3129</v>
      </c>
    </row>
    <row r="1891" spans="1:4" ht="12.95" customHeight="1" x14ac:dyDescent="0.25">
      <c r="A1891" s="2" t="s">
        <v>351</v>
      </c>
      <c r="B1891" s="2" t="s">
        <v>1040</v>
      </c>
      <c r="C1891" s="5" t="s">
        <v>992</v>
      </c>
      <c r="D1891" s="2" t="s">
        <v>1006</v>
      </c>
    </row>
    <row r="1892" spans="1:4" ht="12.95" customHeight="1" x14ac:dyDescent="0.25">
      <c r="A1892" s="2" t="s">
        <v>354</v>
      </c>
      <c r="B1892" s="2" t="s">
        <v>1040</v>
      </c>
      <c r="C1892" s="5" t="s">
        <v>978</v>
      </c>
      <c r="D1892" s="2" t="s">
        <v>1047</v>
      </c>
    </row>
    <row r="1893" spans="1:4" ht="12.95" customHeight="1" x14ac:dyDescent="0.25">
      <c r="A1893" s="2" t="s">
        <v>354</v>
      </c>
      <c r="B1893" s="2" t="s">
        <v>1040</v>
      </c>
      <c r="C1893" s="5" t="s">
        <v>980</v>
      </c>
      <c r="D1893" s="2" t="s">
        <v>1041</v>
      </c>
    </row>
    <row r="1894" spans="1:4" ht="12.95" customHeight="1" x14ac:dyDescent="0.25">
      <c r="A1894" s="2" t="s">
        <v>354</v>
      </c>
      <c r="B1894" s="2" t="s">
        <v>1040</v>
      </c>
      <c r="C1894" s="5" t="s">
        <v>982</v>
      </c>
      <c r="D1894" s="2" t="s">
        <v>983</v>
      </c>
    </row>
    <row r="1895" spans="1:4" ht="12.95" customHeight="1" x14ac:dyDescent="0.25">
      <c r="A1895" s="2" t="s">
        <v>357</v>
      </c>
      <c r="B1895" s="2" t="s">
        <v>1040</v>
      </c>
      <c r="C1895" s="5" t="s">
        <v>996</v>
      </c>
      <c r="D1895" s="2" t="s">
        <v>997</v>
      </c>
    </row>
    <row r="1896" spans="1:4" ht="12.95" customHeight="1" x14ac:dyDescent="0.25">
      <c r="A1896" s="2" t="s">
        <v>357</v>
      </c>
      <c r="B1896" s="2" t="s">
        <v>1040</v>
      </c>
      <c r="C1896" s="5" t="s">
        <v>984</v>
      </c>
      <c r="D1896" s="2" t="s">
        <v>3130</v>
      </c>
    </row>
    <row r="1897" spans="1:4" ht="12.95" customHeight="1" x14ac:dyDescent="0.25">
      <c r="A1897" s="2" t="s">
        <v>357</v>
      </c>
      <c r="B1897" s="2" t="s">
        <v>1040</v>
      </c>
      <c r="C1897" s="5" t="s">
        <v>986</v>
      </c>
      <c r="D1897" s="2" t="s">
        <v>3131</v>
      </c>
    </row>
    <row r="1898" spans="1:4" ht="12.95" customHeight="1" x14ac:dyDescent="0.25">
      <c r="A1898" s="2" t="s">
        <v>357</v>
      </c>
      <c r="B1898" s="2" t="s">
        <v>1040</v>
      </c>
      <c r="C1898" s="5" t="s">
        <v>988</v>
      </c>
      <c r="D1898" s="2" t="s">
        <v>3132</v>
      </c>
    </row>
    <row r="1899" spans="1:4" ht="12.95" customHeight="1" x14ac:dyDescent="0.25">
      <c r="A1899" s="2" t="s">
        <v>357</v>
      </c>
      <c r="B1899" s="2" t="s">
        <v>1040</v>
      </c>
      <c r="C1899" s="5" t="s">
        <v>990</v>
      </c>
      <c r="D1899" s="2" t="s">
        <v>3133</v>
      </c>
    </row>
    <row r="1900" spans="1:4" ht="12.95" customHeight="1" x14ac:dyDescent="0.25">
      <c r="A1900" s="2" t="s">
        <v>357</v>
      </c>
      <c r="B1900" s="2" t="s">
        <v>1040</v>
      </c>
      <c r="C1900" s="5" t="s">
        <v>992</v>
      </c>
      <c r="D1900" s="2" t="s">
        <v>3134</v>
      </c>
    </row>
    <row r="1901" spans="1:4" ht="12.95" customHeight="1" x14ac:dyDescent="0.25">
      <c r="A1901" s="2" t="s">
        <v>357</v>
      </c>
      <c r="B1901" s="2" t="s">
        <v>1040</v>
      </c>
      <c r="C1901" s="5" t="s">
        <v>994</v>
      </c>
      <c r="D1901" s="2" t="s">
        <v>3135</v>
      </c>
    </row>
    <row r="1902" spans="1:4" ht="12.95" customHeight="1" x14ac:dyDescent="0.25">
      <c r="A1902" s="2" t="s">
        <v>357</v>
      </c>
      <c r="B1902" s="2" t="s">
        <v>1040</v>
      </c>
      <c r="C1902" s="5" t="s">
        <v>1003</v>
      </c>
      <c r="D1902" s="2" t="s">
        <v>3136</v>
      </c>
    </row>
    <row r="1903" spans="1:4" ht="12.95" customHeight="1" x14ac:dyDescent="0.25">
      <c r="A1903" s="2" t="s">
        <v>357</v>
      </c>
      <c r="B1903" s="2" t="s">
        <v>1040</v>
      </c>
      <c r="C1903" s="5" t="s">
        <v>1013</v>
      </c>
      <c r="D1903" s="2" t="s">
        <v>3137</v>
      </c>
    </row>
    <row r="1904" spans="1:4" ht="12.95" customHeight="1" x14ac:dyDescent="0.25">
      <c r="A1904" s="2" t="s">
        <v>357</v>
      </c>
      <c r="B1904" s="2" t="s">
        <v>1040</v>
      </c>
      <c r="C1904" s="5" t="s">
        <v>1015</v>
      </c>
      <c r="D1904" s="2" t="s">
        <v>3138</v>
      </c>
    </row>
    <row r="1905" spans="1:4" ht="12.95" customHeight="1" x14ac:dyDescent="0.25">
      <c r="A1905" s="2" t="s">
        <v>357</v>
      </c>
      <c r="B1905" s="2" t="s">
        <v>1040</v>
      </c>
      <c r="C1905" s="5" t="s">
        <v>1017</v>
      </c>
      <c r="D1905" s="2" t="s">
        <v>3139</v>
      </c>
    </row>
    <row r="1906" spans="1:4" ht="12.95" customHeight="1" x14ac:dyDescent="0.25">
      <c r="A1906" s="2" t="s">
        <v>364</v>
      </c>
      <c r="B1906" s="2" t="s">
        <v>1060</v>
      </c>
      <c r="C1906" s="5" t="s">
        <v>984</v>
      </c>
      <c r="D1906" s="2" t="s">
        <v>3140</v>
      </c>
    </row>
    <row r="1907" spans="1:4" ht="12.95" customHeight="1" x14ac:dyDescent="0.25">
      <c r="A1907" s="2" t="s">
        <v>364</v>
      </c>
      <c r="B1907" s="2" t="s">
        <v>1060</v>
      </c>
      <c r="C1907" s="5" t="s">
        <v>986</v>
      </c>
      <c r="D1907" s="2" t="s">
        <v>3141</v>
      </c>
    </row>
    <row r="1908" spans="1:4" ht="12.95" customHeight="1" x14ac:dyDescent="0.25">
      <c r="A1908" s="2" t="s">
        <v>364</v>
      </c>
      <c r="B1908" s="2" t="s">
        <v>1060</v>
      </c>
      <c r="C1908" s="5" t="s">
        <v>988</v>
      </c>
      <c r="D1908" s="2" t="s">
        <v>3142</v>
      </c>
    </row>
    <row r="1909" spans="1:4" ht="12.95" customHeight="1" x14ac:dyDescent="0.25">
      <c r="A1909" s="2" t="s">
        <v>364</v>
      </c>
      <c r="B1909" s="2" t="s">
        <v>1060</v>
      </c>
      <c r="C1909" s="5" t="s">
        <v>990</v>
      </c>
      <c r="D1909" s="2" t="s">
        <v>3143</v>
      </c>
    </row>
    <row r="1910" spans="1:4" ht="12.95" customHeight="1" x14ac:dyDescent="0.25">
      <c r="A1910" s="2" t="s">
        <v>366</v>
      </c>
      <c r="B1910" s="2" t="s">
        <v>1040</v>
      </c>
      <c r="C1910" s="5" t="s">
        <v>978</v>
      </c>
      <c r="D1910" s="2" t="s">
        <v>1047</v>
      </c>
    </row>
    <row r="1911" spans="1:4" ht="12.95" customHeight="1" x14ac:dyDescent="0.25">
      <c r="A1911" s="2" t="s">
        <v>366</v>
      </c>
      <c r="B1911" s="2" t="s">
        <v>1040</v>
      </c>
      <c r="C1911" s="5" t="s">
        <v>980</v>
      </c>
      <c r="D1911" s="2" t="s">
        <v>1041</v>
      </c>
    </row>
    <row r="1912" spans="1:4" ht="12.95" customHeight="1" x14ac:dyDescent="0.25">
      <c r="A1912" s="2" t="s">
        <v>366</v>
      </c>
      <c r="B1912" s="2" t="s">
        <v>1040</v>
      </c>
      <c r="C1912" s="5" t="s">
        <v>982</v>
      </c>
      <c r="D1912" s="2" t="s">
        <v>983</v>
      </c>
    </row>
    <row r="1913" spans="1:4" ht="12.95" customHeight="1" x14ac:dyDescent="0.25">
      <c r="A1913" s="2" t="s">
        <v>374</v>
      </c>
      <c r="B1913" s="2" t="s">
        <v>977</v>
      </c>
      <c r="C1913" s="5" t="s">
        <v>996</v>
      </c>
      <c r="D1913" s="2" t="s">
        <v>997</v>
      </c>
    </row>
    <row r="1914" spans="1:4" ht="12.95" customHeight="1" x14ac:dyDescent="0.25">
      <c r="A1914" s="2" t="s">
        <v>374</v>
      </c>
      <c r="B1914" s="2" t="s">
        <v>977</v>
      </c>
      <c r="C1914" s="5" t="s">
        <v>978</v>
      </c>
      <c r="D1914" s="2" t="s">
        <v>1047</v>
      </c>
    </row>
    <row r="1915" spans="1:4" ht="12.95" customHeight="1" x14ac:dyDescent="0.25">
      <c r="A1915" s="2" t="s">
        <v>374</v>
      </c>
      <c r="B1915" s="2" t="s">
        <v>977</v>
      </c>
      <c r="C1915" s="5" t="s">
        <v>980</v>
      </c>
      <c r="D1915" s="2" t="s">
        <v>1041</v>
      </c>
    </row>
    <row r="1916" spans="1:4" ht="12.95" customHeight="1" x14ac:dyDescent="0.25">
      <c r="A1916" s="2" t="s">
        <v>374</v>
      </c>
      <c r="B1916" s="2" t="s">
        <v>977</v>
      </c>
      <c r="C1916" s="5" t="s">
        <v>982</v>
      </c>
      <c r="D1916" s="2" t="s">
        <v>983</v>
      </c>
    </row>
    <row r="1917" spans="1:4" ht="12.95" customHeight="1" x14ac:dyDescent="0.25">
      <c r="A1917" s="2" t="s">
        <v>377</v>
      </c>
      <c r="B1917" s="2" t="s">
        <v>977</v>
      </c>
      <c r="C1917" s="5" t="s">
        <v>996</v>
      </c>
      <c r="D1917" s="2" t="s">
        <v>997</v>
      </c>
    </row>
    <row r="1918" spans="1:4" ht="12.95" customHeight="1" x14ac:dyDescent="0.25">
      <c r="A1918" s="2" t="s">
        <v>377</v>
      </c>
      <c r="B1918" s="2" t="s">
        <v>977</v>
      </c>
      <c r="C1918" s="5" t="s">
        <v>978</v>
      </c>
      <c r="D1918" s="2" t="s">
        <v>979</v>
      </c>
    </row>
    <row r="1919" spans="1:4" ht="12.95" customHeight="1" x14ac:dyDescent="0.25">
      <c r="A1919" s="2" t="s">
        <v>377</v>
      </c>
      <c r="B1919" s="2" t="s">
        <v>977</v>
      </c>
      <c r="C1919" s="5" t="s">
        <v>980</v>
      </c>
      <c r="D1919" s="2" t="s">
        <v>981</v>
      </c>
    </row>
    <row r="1920" spans="1:4" ht="12.95" customHeight="1" x14ac:dyDescent="0.25">
      <c r="A1920" s="2" t="s">
        <v>377</v>
      </c>
      <c r="B1920" s="2" t="s">
        <v>977</v>
      </c>
      <c r="C1920" s="5" t="s">
        <v>984</v>
      </c>
      <c r="D1920" s="2" t="s">
        <v>3144</v>
      </c>
    </row>
    <row r="1921" spans="1:4" ht="12.95" customHeight="1" x14ac:dyDescent="0.25">
      <c r="A1921" s="2" t="s">
        <v>377</v>
      </c>
      <c r="B1921" s="2" t="s">
        <v>977</v>
      </c>
      <c r="C1921" s="5" t="s">
        <v>986</v>
      </c>
      <c r="D1921" s="2" t="s">
        <v>3145</v>
      </c>
    </row>
    <row r="1922" spans="1:4" ht="12.95" customHeight="1" x14ac:dyDescent="0.25">
      <c r="A1922" s="2" t="s">
        <v>377</v>
      </c>
      <c r="B1922" s="2" t="s">
        <v>977</v>
      </c>
      <c r="C1922" s="5" t="s">
        <v>988</v>
      </c>
      <c r="D1922" s="2" t="s">
        <v>3146</v>
      </c>
    </row>
    <row r="1923" spans="1:4" ht="12.95" customHeight="1" x14ac:dyDescent="0.25">
      <c r="A1923" s="2" t="s">
        <v>377</v>
      </c>
      <c r="B1923" s="2" t="s">
        <v>977</v>
      </c>
      <c r="C1923" s="5" t="s">
        <v>990</v>
      </c>
      <c r="D1923" s="2" t="s">
        <v>3147</v>
      </c>
    </row>
    <row r="1924" spans="1:4" ht="12.95" customHeight="1" x14ac:dyDescent="0.25">
      <c r="A1924" s="2" t="s">
        <v>377</v>
      </c>
      <c r="B1924" s="2" t="s">
        <v>977</v>
      </c>
      <c r="C1924" s="5" t="s">
        <v>992</v>
      </c>
      <c r="D1924" s="2" t="s">
        <v>3148</v>
      </c>
    </row>
    <row r="1925" spans="1:4" ht="12.95" customHeight="1" x14ac:dyDescent="0.25">
      <c r="A1925" s="2" t="s">
        <v>380</v>
      </c>
      <c r="B1925" s="2" t="s">
        <v>1007</v>
      </c>
      <c r="C1925" s="5" t="s">
        <v>1168</v>
      </c>
      <c r="D1925" s="2" t="s">
        <v>979</v>
      </c>
    </row>
    <row r="1926" spans="1:4" ht="12.95" customHeight="1" x14ac:dyDescent="0.25">
      <c r="A1926" s="2" t="s">
        <v>380</v>
      </c>
      <c r="B1926" s="2" t="s">
        <v>1007</v>
      </c>
      <c r="C1926" s="5" t="s">
        <v>978</v>
      </c>
      <c r="D1926" s="2" t="s">
        <v>979</v>
      </c>
    </row>
    <row r="1927" spans="1:4" ht="12.95" customHeight="1" x14ac:dyDescent="0.25">
      <c r="A1927" s="2" t="s">
        <v>380</v>
      </c>
      <c r="B1927" s="2" t="s">
        <v>1007</v>
      </c>
      <c r="C1927" s="5" t="s">
        <v>984</v>
      </c>
      <c r="D1927" s="2" t="s">
        <v>3149</v>
      </c>
    </row>
    <row r="1928" spans="1:4" ht="12.95" customHeight="1" x14ac:dyDescent="0.25">
      <c r="A1928" s="2" t="s">
        <v>380</v>
      </c>
      <c r="B1928" s="2" t="s">
        <v>1007</v>
      </c>
      <c r="C1928" s="5" t="s">
        <v>986</v>
      </c>
      <c r="D1928" s="2" t="s">
        <v>3150</v>
      </c>
    </row>
    <row r="1929" spans="1:4" ht="12.95" customHeight="1" x14ac:dyDescent="0.25">
      <c r="A1929" s="2" t="s">
        <v>380</v>
      </c>
      <c r="B1929" s="2" t="s">
        <v>1007</v>
      </c>
      <c r="C1929" s="5" t="s">
        <v>988</v>
      </c>
      <c r="D1929" s="2" t="s">
        <v>3151</v>
      </c>
    </row>
    <row r="1930" spans="1:4" ht="12.95" customHeight="1" x14ac:dyDescent="0.25">
      <c r="A1930" s="2" t="s">
        <v>380</v>
      </c>
      <c r="B1930" s="2" t="s">
        <v>1007</v>
      </c>
      <c r="C1930" s="5" t="s">
        <v>994</v>
      </c>
      <c r="D1930" s="2" t="s">
        <v>3152</v>
      </c>
    </row>
    <row r="1931" spans="1:4" ht="12.95" customHeight="1" x14ac:dyDescent="0.25">
      <c r="A1931" s="2" t="s">
        <v>380</v>
      </c>
      <c r="B1931" s="2" t="s">
        <v>1007</v>
      </c>
      <c r="C1931" s="5" t="s">
        <v>1003</v>
      </c>
      <c r="D1931" s="2" t="s">
        <v>3153</v>
      </c>
    </row>
    <row r="1932" spans="1:4" ht="12.95" customHeight="1" x14ac:dyDescent="0.25">
      <c r="A1932" s="2" t="s">
        <v>380</v>
      </c>
      <c r="B1932" s="2" t="s">
        <v>1007</v>
      </c>
      <c r="C1932" s="5" t="s">
        <v>1013</v>
      </c>
      <c r="D1932" s="2" t="s">
        <v>3154</v>
      </c>
    </row>
    <row r="1933" spans="1:4" ht="12.95" customHeight="1" x14ac:dyDescent="0.25">
      <c r="A1933" s="2" t="s">
        <v>380</v>
      </c>
      <c r="B1933" s="2" t="s">
        <v>1007</v>
      </c>
      <c r="C1933" s="5" t="s">
        <v>1015</v>
      </c>
      <c r="D1933" s="2" t="s">
        <v>3155</v>
      </c>
    </row>
    <row r="1934" spans="1:4" ht="12.95" customHeight="1" x14ac:dyDescent="0.25">
      <c r="A1934" s="2" t="s">
        <v>380</v>
      </c>
      <c r="B1934" s="2" t="s">
        <v>1007</v>
      </c>
      <c r="C1934" s="5" t="s">
        <v>1017</v>
      </c>
      <c r="D1934" s="2" t="s">
        <v>3156</v>
      </c>
    </row>
    <row r="1935" spans="1:4" ht="12.95" customHeight="1" x14ac:dyDescent="0.25">
      <c r="A1935" s="2" t="s">
        <v>380</v>
      </c>
      <c r="B1935" s="2" t="s">
        <v>1007</v>
      </c>
      <c r="C1935" s="5" t="s">
        <v>1021</v>
      </c>
      <c r="D1935" s="2" t="s">
        <v>3157</v>
      </c>
    </row>
    <row r="1936" spans="1:4" ht="12.95" customHeight="1" x14ac:dyDescent="0.25">
      <c r="A1936" s="2" t="s">
        <v>380</v>
      </c>
      <c r="B1936" s="2" t="s">
        <v>1007</v>
      </c>
      <c r="C1936" s="5" t="s">
        <v>1023</v>
      </c>
      <c r="D1936" s="2" t="s">
        <v>3158</v>
      </c>
    </row>
    <row r="1937" spans="1:4" ht="12.95" customHeight="1" x14ac:dyDescent="0.25">
      <c r="A1937" s="2" t="s">
        <v>380</v>
      </c>
      <c r="B1937" s="2" t="s">
        <v>1007</v>
      </c>
      <c r="C1937" s="5" t="s">
        <v>1025</v>
      </c>
      <c r="D1937" s="2" t="s">
        <v>3159</v>
      </c>
    </row>
    <row r="1938" spans="1:4" ht="12.95" customHeight="1" x14ac:dyDescent="0.25">
      <c r="A1938" s="2" t="s">
        <v>380</v>
      </c>
      <c r="B1938" s="2" t="s">
        <v>1007</v>
      </c>
      <c r="C1938" s="5" t="s">
        <v>1033</v>
      </c>
      <c r="D1938" s="2" t="s">
        <v>3160</v>
      </c>
    </row>
    <row r="1939" spans="1:4" ht="12.95" customHeight="1" x14ac:dyDescent="0.25">
      <c r="A1939" s="2" t="s">
        <v>380</v>
      </c>
      <c r="B1939" s="2" t="s">
        <v>1007</v>
      </c>
      <c r="C1939" s="5" t="s">
        <v>1035</v>
      </c>
      <c r="D1939" s="2" t="s">
        <v>3161</v>
      </c>
    </row>
    <row r="1940" spans="1:4" ht="12.95" customHeight="1" x14ac:dyDescent="0.25">
      <c r="A1940" s="2" t="s">
        <v>380</v>
      </c>
      <c r="B1940" s="2" t="s">
        <v>1007</v>
      </c>
      <c r="C1940" s="5" t="s">
        <v>1177</v>
      </c>
      <c r="D1940" s="2" t="s">
        <v>3162</v>
      </c>
    </row>
    <row r="1941" spans="1:4" ht="12.95" customHeight="1" x14ac:dyDescent="0.25">
      <c r="A1941" s="2" t="s">
        <v>380</v>
      </c>
      <c r="B1941" s="2" t="s">
        <v>1007</v>
      </c>
      <c r="C1941" s="5" t="s">
        <v>1069</v>
      </c>
      <c r="D1941" s="2" t="s">
        <v>3163</v>
      </c>
    </row>
    <row r="1942" spans="1:4" ht="12.95" customHeight="1" x14ac:dyDescent="0.25">
      <c r="A1942" s="2" t="s">
        <v>380</v>
      </c>
      <c r="B1942" s="2" t="s">
        <v>1007</v>
      </c>
      <c r="C1942" s="5" t="s">
        <v>1071</v>
      </c>
      <c r="D1942" s="2" t="s">
        <v>3164</v>
      </c>
    </row>
    <row r="1943" spans="1:4" ht="12.95" customHeight="1" x14ac:dyDescent="0.25">
      <c r="A1943" s="2" t="s">
        <v>380</v>
      </c>
      <c r="B1943" s="2" t="s">
        <v>1007</v>
      </c>
      <c r="C1943" s="5" t="s">
        <v>1073</v>
      </c>
      <c r="D1943" s="2" t="s">
        <v>3165</v>
      </c>
    </row>
    <row r="1944" spans="1:4" ht="12.95" customHeight="1" x14ac:dyDescent="0.25">
      <c r="A1944" s="2" t="s">
        <v>380</v>
      </c>
      <c r="B1944" s="2" t="s">
        <v>1007</v>
      </c>
      <c r="C1944" s="5" t="s">
        <v>1075</v>
      </c>
      <c r="D1944" s="2" t="s">
        <v>3166</v>
      </c>
    </row>
    <row r="1945" spans="1:4" ht="12.95" customHeight="1" x14ac:dyDescent="0.25">
      <c r="A1945" s="2" t="s">
        <v>380</v>
      </c>
      <c r="B1945" s="2" t="s">
        <v>1007</v>
      </c>
      <c r="C1945" s="5" t="s">
        <v>3054</v>
      </c>
      <c r="D1945" s="2" t="s">
        <v>3167</v>
      </c>
    </row>
    <row r="1946" spans="1:4" ht="12.95" customHeight="1" x14ac:dyDescent="0.25">
      <c r="A1946" s="2" t="s">
        <v>380</v>
      </c>
      <c r="B1946" s="2" t="s">
        <v>1007</v>
      </c>
      <c r="C1946" s="5" t="s">
        <v>3056</v>
      </c>
      <c r="D1946" s="2" t="s">
        <v>3168</v>
      </c>
    </row>
    <row r="1947" spans="1:4" ht="12.95" customHeight="1" x14ac:dyDescent="0.25">
      <c r="A1947" s="2" t="s">
        <v>380</v>
      </c>
      <c r="B1947" s="2" t="s">
        <v>1007</v>
      </c>
      <c r="C1947" s="5" t="s">
        <v>3062</v>
      </c>
      <c r="D1947" s="2" t="s">
        <v>3169</v>
      </c>
    </row>
    <row r="1948" spans="1:4" ht="12.95" customHeight="1" x14ac:dyDescent="0.25">
      <c r="A1948" s="2" t="s">
        <v>380</v>
      </c>
      <c r="B1948" s="2" t="s">
        <v>1007</v>
      </c>
      <c r="C1948" s="5" t="s">
        <v>1179</v>
      </c>
      <c r="D1948" s="2" t="s">
        <v>3170</v>
      </c>
    </row>
    <row r="1949" spans="1:4" ht="12.95" customHeight="1" x14ac:dyDescent="0.25">
      <c r="A1949" s="2" t="s">
        <v>380</v>
      </c>
      <c r="B1949" s="2" t="s">
        <v>1007</v>
      </c>
      <c r="C1949" s="5" t="s">
        <v>1077</v>
      </c>
      <c r="D1949" s="2" t="s">
        <v>3171</v>
      </c>
    </row>
    <row r="1950" spans="1:4" ht="12.95" customHeight="1" x14ac:dyDescent="0.25">
      <c r="A1950" s="2" t="s">
        <v>380</v>
      </c>
      <c r="B1950" s="2" t="s">
        <v>1007</v>
      </c>
      <c r="C1950" s="5" t="s">
        <v>1079</v>
      </c>
      <c r="D1950" s="2" t="s">
        <v>3172</v>
      </c>
    </row>
    <row r="1951" spans="1:4" ht="12.95" customHeight="1" x14ac:dyDescent="0.25">
      <c r="A1951" s="2" t="s">
        <v>380</v>
      </c>
      <c r="B1951" s="2" t="s">
        <v>1007</v>
      </c>
      <c r="C1951" s="5" t="s">
        <v>1081</v>
      </c>
      <c r="D1951" s="2" t="s">
        <v>3173</v>
      </c>
    </row>
    <row r="1952" spans="1:4" ht="12.95" customHeight="1" x14ac:dyDescent="0.25">
      <c r="A1952" s="2" t="s">
        <v>380</v>
      </c>
      <c r="B1952" s="2" t="s">
        <v>1007</v>
      </c>
      <c r="C1952" s="5" t="s">
        <v>1083</v>
      </c>
      <c r="D1952" s="2" t="s">
        <v>3174</v>
      </c>
    </row>
    <row r="1953" spans="1:4" ht="12.95" customHeight="1" x14ac:dyDescent="0.25">
      <c r="A1953" s="2" t="s">
        <v>380</v>
      </c>
      <c r="B1953" s="2" t="s">
        <v>1007</v>
      </c>
      <c r="C1953" s="5" t="s">
        <v>3069</v>
      </c>
      <c r="D1953" s="2" t="s">
        <v>3175</v>
      </c>
    </row>
    <row r="1954" spans="1:4" ht="12.95" customHeight="1" x14ac:dyDescent="0.25">
      <c r="A1954" s="2" t="s">
        <v>380</v>
      </c>
      <c r="B1954" s="2" t="s">
        <v>1007</v>
      </c>
      <c r="C1954" s="5" t="s">
        <v>3071</v>
      </c>
      <c r="D1954" s="2" t="s">
        <v>3176</v>
      </c>
    </row>
    <row r="1955" spans="1:4" ht="12.95" customHeight="1" x14ac:dyDescent="0.25">
      <c r="A1955" s="2" t="s">
        <v>380</v>
      </c>
      <c r="B1955" s="2" t="s">
        <v>1007</v>
      </c>
      <c r="C1955" s="5" t="s">
        <v>3073</v>
      </c>
      <c r="D1955" s="2" t="s">
        <v>3177</v>
      </c>
    </row>
    <row r="1956" spans="1:4" ht="12.95" customHeight="1" x14ac:dyDescent="0.25">
      <c r="A1956" s="2" t="s">
        <v>380</v>
      </c>
      <c r="B1956" s="2" t="s">
        <v>1007</v>
      </c>
      <c r="C1956" s="5" t="s">
        <v>3075</v>
      </c>
      <c r="D1956" s="2" t="s">
        <v>3178</v>
      </c>
    </row>
    <row r="1957" spans="1:4" ht="12.95" customHeight="1" x14ac:dyDescent="0.25">
      <c r="A1957" s="2" t="s">
        <v>380</v>
      </c>
      <c r="B1957" s="2" t="s">
        <v>1007</v>
      </c>
      <c r="C1957" s="5" t="s">
        <v>3077</v>
      </c>
      <c r="D1957" s="2" t="s">
        <v>3179</v>
      </c>
    </row>
    <row r="1958" spans="1:4" ht="12.95" customHeight="1" x14ac:dyDescent="0.25">
      <c r="A1958" s="2" t="s">
        <v>380</v>
      </c>
      <c r="B1958" s="2" t="s">
        <v>1007</v>
      </c>
      <c r="C1958" s="5" t="s">
        <v>1181</v>
      </c>
      <c r="D1958" s="2" t="s">
        <v>3180</v>
      </c>
    </row>
    <row r="1959" spans="1:4" ht="12.95" customHeight="1" x14ac:dyDescent="0.25">
      <c r="A1959" s="2" t="s">
        <v>380</v>
      </c>
      <c r="B1959" s="2" t="s">
        <v>1007</v>
      </c>
      <c r="C1959" s="5" t="s">
        <v>1085</v>
      </c>
      <c r="D1959" s="2" t="s">
        <v>3181</v>
      </c>
    </row>
    <row r="1960" spans="1:4" ht="12.95" customHeight="1" x14ac:dyDescent="0.25">
      <c r="A1960" s="2" t="s">
        <v>380</v>
      </c>
      <c r="B1960" s="2" t="s">
        <v>1007</v>
      </c>
      <c r="C1960" s="5" t="s">
        <v>1087</v>
      </c>
      <c r="D1960" s="2" t="s">
        <v>3182</v>
      </c>
    </row>
    <row r="1961" spans="1:4" ht="12.95" customHeight="1" x14ac:dyDescent="0.25">
      <c r="A1961" s="2" t="s">
        <v>380</v>
      </c>
      <c r="B1961" s="2" t="s">
        <v>1007</v>
      </c>
      <c r="C1961" s="5" t="s">
        <v>1089</v>
      </c>
      <c r="D1961" s="2" t="s">
        <v>3183</v>
      </c>
    </row>
    <row r="1962" spans="1:4" ht="12.95" customHeight="1" x14ac:dyDescent="0.25">
      <c r="A1962" s="2" t="s">
        <v>380</v>
      </c>
      <c r="B1962" s="2" t="s">
        <v>1007</v>
      </c>
      <c r="C1962" s="5" t="s">
        <v>1091</v>
      </c>
      <c r="D1962" s="2" t="s">
        <v>3184</v>
      </c>
    </row>
    <row r="1963" spans="1:4" ht="12.95" customHeight="1" x14ac:dyDescent="0.25">
      <c r="A1963" s="2" t="s">
        <v>380</v>
      </c>
      <c r="B1963" s="2" t="s">
        <v>1007</v>
      </c>
      <c r="C1963" s="5" t="s">
        <v>3083</v>
      </c>
      <c r="D1963" s="2" t="s">
        <v>3185</v>
      </c>
    </row>
    <row r="1964" spans="1:4" ht="12.95" customHeight="1" x14ac:dyDescent="0.25">
      <c r="A1964" s="2" t="s">
        <v>380</v>
      </c>
      <c r="B1964" s="2" t="s">
        <v>1007</v>
      </c>
      <c r="C1964" s="5" t="s">
        <v>3085</v>
      </c>
      <c r="D1964" s="2" t="s">
        <v>3186</v>
      </c>
    </row>
    <row r="1965" spans="1:4" ht="12.95" customHeight="1" x14ac:dyDescent="0.25">
      <c r="A1965" s="2" t="s">
        <v>380</v>
      </c>
      <c r="B1965" s="2" t="s">
        <v>1007</v>
      </c>
      <c r="C1965" s="5" t="s">
        <v>3087</v>
      </c>
      <c r="D1965" s="2" t="s">
        <v>3187</v>
      </c>
    </row>
    <row r="1966" spans="1:4" ht="12.95" customHeight="1" x14ac:dyDescent="0.25">
      <c r="A1966" s="2" t="s">
        <v>380</v>
      </c>
      <c r="B1966" s="2" t="s">
        <v>1007</v>
      </c>
      <c r="C1966" s="5" t="s">
        <v>3089</v>
      </c>
      <c r="D1966" s="2" t="s">
        <v>3188</v>
      </c>
    </row>
    <row r="1967" spans="1:4" ht="12.95" customHeight="1" x14ac:dyDescent="0.25">
      <c r="A1967" s="2" t="s">
        <v>380</v>
      </c>
      <c r="B1967" s="2" t="s">
        <v>1007</v>
      </c>
      <c r="C1967" s="5" t="s">
        <v>3091</v>
      </c>
      <c r="D1967" s="2" t="s">
        <v>3189</v>
      </c>
    </row>
    <row r="1968" spans="1:4" ht="12.95" customHeight="1" x14ac:dyDescent="0.25">
      <c r="A1968" s="2" t="s">
        <v>380</v>
      </c>
      <c r="B1968" s="2" t="s">
        <v>1007</v>
      </c>
      <c r="C1968" s="5" t="s">
        <v>1183</v>
      </c>
      <c r="D1968" s="2" t="s">
        <v>3190</v>
      </c>
    </row>
    <row r="1969" spans="1:4" ht="12.95" customHeight="1" x14ac:dyDescent="0.25">
      <c r="A1969" s="2" t="s">
        <v>380</v>
      </c>
      <c r="B1969" s="2" t="s">
        <v>1007</v>
      </c>
      <c r="C1969" s="5" t="s">
        <v>1093</v>
      </c>
      <c r="D1969" s="2" t="s">
        <v>3191</v>
      </c>
    </row>
    <row r="1970" spans="1:4" ht="12.95" customHeight="1" x14ac:dyDescent="0.25">
      <c r="A1970" s="2" t="s">
        <v>380</v>
      </c>
      <c r="B1970" s="2" t="s">
        <v>1007</v>
      </c>
      <c r="C1970" s="5" t="s">
        <v>1095</v>
      </c>
      <c r="D1970" s="2" t="s">
        <v>3192</v>
      </c>
    </row>
    <row r="1971" spans="1:4" ht="12.95" customHeight="1" x14ac:dyDescent="0.25">
      <c r="A1971" s="2" t="s">
        <v>380</v>
      </c>
      <c r="B1971" s="2" t="s">
        <v>1007</v>
      </c>
      <c r="C1971" s="5" t="s">
        <v>1097</v>
      </c>
      <c r="D1971" s="2" t="s">
        <v>3193</v>
      </c>
    </row>
    <row r="1972" spans="1:4" ht="12.95" customHeight="1" x14ac:dyDescent="0.25">
      <c r="A1972" s="2" t="s">
        <v>380</v>
      </c>
      <c r="B1972" s="2" t="s">
        <v>1007</v>
      </c>
      <c r="C1972" s="5" t="s">
        <v>1099</v>
      </c>
      <c r="D1972" s="2" t="s">
        <v>3194</v>
      </c>
    </row>
    <row r="1973" spans="1:4" ht="12.95" customHeight="1" x14ac:dyDescent="0.25">
      <c r="A1973" s="2" t="s">
        <v>380</v>
      </c>
      <c r="B1973" s="2" t="s">
        <v>1007</v>
      </c>
      <c r="C1973" s="5" t="s">
        <v>3097</v>
      </c>
      <c r="D1973" s="2" t="s">
        <v>3195</v>
      </c>
    </row>
    <row r="1974" spans="1:4" ht="12.95" customHeight="1" x14ac:dyDescent="0.25">
      <c r="A1974" s="2" t="s">
        <v>380</v>
      </c>
      <c r="B1974" s="2" t="s">
        <v>1007</v>
      </c>
      <c r="C1974" s="5" t="s">
        <v>3099</v>
      </c>
      <c r="D1974" s="2" t="s">
        <v>3196</v>
      </c>
    </row>
    <row r="1975" spans="1:4" ht="12.95" customHeight="1" x14ac:dyDescent="0.25">
      <c r="A1975" s="2" t="s">
        <v>380</v>
      </c>
      <c r="B1975" s="2" t="s">
        <v>1007</v>
      </c>
      <c r="C1975" s="5" t="s">
        <v>3197</v>
      </c>
      <c r="D1975" s="2" t="s">
        <v>3198</v>
      </c>
    </row>
    <row r="1976" spans="1:4" ht="12.95" customHeight="1" x14ac:dyDescent="0.25">
      <c r="A1976" s="2" t="s">
        <v>380</v>
      </c>
      <c r="B1976" s="2" t="s">
        <v>1007</v>
      </c>
      <c r="C1976" s="5" t="s">
        <v>3199</v>
      </c>
      <c r="D1976" s="2" t="s">
        <v>3200</v>
      </c>
    </row>
    <row r="1977" spans="1:4" ht="12.95" customHeight="1" x14ac:dyDescent="0.25">
      <c r="A1977" s="2" t="s">
        <v>380</v>
      </c>
      <c r="B1977" s="2" t="s">
        <v>1007</v>
      </c>
      <c r="C1977" s="5" t="s">
        <v>3201</v>
      </c>
      <c r="D1977" s="2" t="s">
        <v>3202</v>
      </c>
    </row>
    <row r="1978" spans="1:4" ht="12.95" customHeight="1" x14ac:dyDescent="0.25">
      <c r="A1978" s="2" t="s">
        <v>380</v>
      </c>
      <c r="B1978" s="2" t="s">
        <v>1007</v>
      </c>
      <c r="C1978" s="5" t="s">
        <v>1185</v>
      </c>
      <c r="D1978" s="2" t="s">
        <v>3203</v>
      </c>
    </row>
    <row r="1979" spans="1:4" ht="12.95" customHeight="1" x14ac:dyDescent="0.25">
      <c r="A1979" s="2" t="s">
        <v>380</v>
      </c>
      <c r="B1979" s="2" t="s">
        <v>1007</v>
      </c>
      <c r="C1979" s="5" t="s">
        <v>1101</v>
      </c>
      <c r="D1979" s="2" t="s">
        <v>3204</v>
      </c>
    </row>
    <row r="1980" spans="1:4" ht="12.95" customHeight="1" x14ac:dyDescent="0.25">
      <c r="A1980" s="2" t="s">
        <v>380</v>
      </c>
      <c r="B1980" s="2" t="s">
        <v>1007</v>
      </c>
      <c r="C1980" s="5" t="s">
        <v>1103</v>
      </c>
      <c r="D1980" s="2" t="s">
        <v>3205</v>
      </c>
    </row>
    <row r="1981" spans="1:4" ht="12.95" customHeight="1" x14ac:dyDescent="0.25">
      <c r="A1981" s="2" t="s">
        <v>380</v>
      </c>
      <c r="B1981" s="2" t="s">
        <v>1007</v>
      </c>
      <c r="C1981" s="5" t="s">
        <v>1105</v>
      </c>
      <c r="D1981" s="2" t="s">
        <v>3206</v>
      </c>
    </row>
    <row r="1982" spans="1:4" ht="12.95" customHeight="1" x14ac:dyDescent="0.25">
      <c r="A1982" s="2" t="s">
        <v>380</v>
      </c>
      <c r="B1982" s="2" t="s">
        <v>1007</v>
      </c>
      <c r="C1982" s="5" t="s">
        <v>1107</v>
      </c>
      <c r="D1982" s="2" t="s">
        <v>3207</v>
      </c>
    </row>
    <row r="1983" spans="1:4" ht="12.95" customHeight="1" x14ac:dyDescent="0.25">
      <c r="A1983" s="2" t="s">
        <v>380</v>
      </c>
      <c r="B1983" s="2" t="s">
        <v>1007</v>
      </c>
      <c r="C1983" s="5" t="s">
        <v>3208</v>
      </c>
      <c r="D1983" s="2" t="s">
        <v>3209</v>
      </c>
    </row>
    <row r="1984" spans="1:4" ht="12.95" customHeight="1" x14ac:dyDescent="0.25">
      <c r="A1984" s="2" t="s">
        <v>380</v>
      </c>
      <c r="B1984" s="2" t="s">
        <v>1007</v>
      </c>
      <c r="C1984" s="5" t="s">
        <v>3210</v>
      </c>
      <c r="D1984" s="2" t="s">
        <v>3211</v>
      </c>
    </row>
    <row r="1985" spans="1:4" ht="12.95" customHeight="1" x14ac:dyDescent="0.25">
      <c r="A1985" s="2" t="s">
        <v>380</v>
      </c>
      <c r="B1985" s="2" t="s">
        <v>1007</v>
      </c>
      <c r="C1985" s="5" t="s">
        <v>3212</v>
      </c>
      <c r="D1985" s="2" t="s">
        <v>3213</v>
      </c>
    </row>
    <row r="1986" spans="1:4" ht="12.95" customHeight="1" x14ac:dyDescent="0.25">
      <c r="A1986" s="2" t="s">
        <v>380</v>
      </c>
      <c r="B1986" s="2" t="s">
        <v>1007</v>
      </c>
      <c r="C1986" s="5" t="s">
        <v>1187</v>
      </c>
      <c r="D1986" s="2" t="s">
        <v>3214</v>
      </c>
    </row>
    <row r="1987" spans="1:4" ht="12.95" customHeight="1" x14ac:dyDescent="0.25">
      <c r="A1987" s="2" t="s">
        <v>380</v>
      </c>
      <c r="B1987" s="2" t="s">
        <v>1007</v>
      </c>
      <c r="C1987" s="5" t="s">
        <v>1109</v>
      </c>
      <c r="D1987" s="2" t="s">
        <v>3215</v>
      </c>
    </row>
    <row r="1988" spans="1:4" ht="12.95" customHeight="1" x14ac:dyDescent="0.25">
      <c r="A1988" s="2" t="s">
        <v>380</v>
      </c>
      <c r="B1988" s="2" t="s">
        <v>1007</v>
      </c>
      <c r="C1988" s="5" t="s">
        <v>1111</v>
      </c>
      <c r="D1988" s="2" t="s">
        <v>3216</v>
      </c>
    </row>
    <row r="1989" spans="1:4" ht="12.95" customHeight="1" x14ac:dyDescent="0.25">
      <c r="A1989" s="2" t="s">
        <v>380</v>
      </c>
      <c r="B1989" s="2" t="s">
        <v>1007</v>
      </c>
      <c r="C1989" s="5" t="s">
        <v>1113</v>
      </c>
      <c r="D1989" s="2" t="s">
        <v>3217</v>
      </c>
    </row>
    <row r="1990" spans="1:4" ht="12.95" customHeight="1" x14ac:dyDescent="0.25">
      <c r="A1990" s="2" t="s">
        <v>380</v>
      </c>
      <c r="B1990" s="2" t="s">
        <v>1007</v>
      </c>
      <c r="C1990" s="5" t="s">
        <v>1115</v>
      </c>
      <c r="D1990" s="2" t="s">
        <v>3218</v>
      </c>
    </row>
    <row r="1991" spans="1:4" ht="12.95" customHeight="1" x14ac:dyDescent="0.25">
      <c r="A1991" s="2" t="s">
        <v>380</v>
      </c>
      <c r="B1991" s="2" t="s">
        <v>1007</v>
      </c>
      <c r="C1991" s="5" t="s">
        <v>3105</v>
      </c>
      <c r="D1991" s="2" t="s">
        <v>3219</v>
      </c>
    </row>
    <row r="1992" spans="1:4" ht="12.95" customHeight="1" x14ac:dyDescent="0.25">
      <c r="A1992" s="2" t="s">
        <v>380</v>
      </c>
      <c r="B1992" s="2" t="s">
        <v>1007</v>
      </c>
      <c r="C1992" s="5" t="s">
        <v>3220</v>
      </c>
      <c r="D1992" s="2" t="s">
        <v>3221</v>
      </c>
    </row>
    <row r="1993" spans="1:4" ht="12.95" customHeight="1" x14ac:dyDescent="0.25">
      <c r="A1993" s="2" t="s">
        <v>380</v>
      </c>
      <c r="B1993" s="2" t="s">
        <v>1007</v>
      </c>
      <c r="C1993" s="5" t="s">
        <v>3222</v>
      </c>
      <c r="D1993" s="2" t="s">
        <v>3223</v>
      </c>
    </row>
    <row r="1994" spans="1:4" ht="12.95" customHeight="1" x14ac:dyDescent="0.25">
      <c r="A1994" s="2" t="s">
        <v>380</v>
      </c>
      <c r="B1994" s="2" t="s">
        <v>1007</v>
      </c>
      <c r="C1994" s="5" t="s">
        <v>1189</v>
      </c>
      <c r="D1994" s="2" t="s">
        <v>3224</v>
      </c>
    </row>
    <row r="1995" spans="1:4" ht="12.95" customHeight="1" x14ac:dyDescent="0.25">
      <c r="A1995" s="2" t="s">
        <v>380</v>
      </c>
      <c r="B1995" s="2" t="s">
        <v>1007</v>
      </c>
      <c r="C1995" s="5" t="s">
        <v>1117</v>
      </c>
      <c r="D1995" s="2" t="s">
        <v>3225</v>
      </c>
    </row>
    <row r="1996" spans="1:4" ht="12.95" customHeight="1" x14ac:dyDescent="0.25">
      <c r="A1996" s="2" t="s">
        <v>380</v>
      </c>
      <c r="B1996" s="2" t="s">
        <v>1007</v>
      </c>
      <c r="C1996" s="5" t="s">
        <v>1119</v>
      </c>
      <c r="D1996" s="2" t="s">
        <v>3226</v>
      </c>
    </row>
    <row r="1997" spans="1:4" ht="12.95" customHeight="1" x14ac:dyDescent="0.25">
      <c r="A1997" s="2" t="s">
        <v>380</v>
      </c>
      <c r="B1997" s="2" t="s">
        <v>1007</v>
      </c>
      <c r="C1997" s="5" t="s">
        <v>1121</v>
      </c>
      <c r="D1997" s="2" t="s">
        <v>3227</v>
      </c>
    </row>
    <row r="1998" spans="1:4" ht="12.95" customHeight="1" x14ac:dyDescent="0.25">
      <c r="A1998" s="2" t="s">
        <v>380</v>
      </c>
      <c r="B1998" s="2" t="s">
        <v>1007</v>
      </c>
      <c r="C1998" s="5" t="s">
        <v>1123</v>
      </c>
      <c r="D1998" s="2" t="s">
        <v>3228</v>
      </c>
    </row>
    <row r="1999" spans="1:4" ht="12.95" customHeight="1" x14ac:dyDescent="0.25">
      <c r="A1999" s="2" t="s">
        <v>380</v>
      </c>
      <c r="B1999" s="2" t="s">
        <v>1007</v>
      </c>
      <c r="C1999" s="5" t="s">
        <v>3229</v>
      </c>
      <c r="D1999" s="2" t="s">
        <v>3230</v>
      </c>
    </row>
    <row r="2000" spans="1:4" ht="12.95" customHeight="1" x14ac:dyDescent="0.25">
      <c r="A2000" s="2" t="s">
        <v>380</v>
      </c>
      <c r="B2000" s="2" t="s">
        <v>1007</v>
      </c>
      <c r="C2000" s="5" t="s">
        <v>3231</v>
      </c>
      <c r="D2000" s="2" t="s">
        <v>3232</v>
      </c>
    </row>
    <row r="2001" spans="1:4" ht="12.95" customHeight="1" x14ac:dyDescent="0.25">
      <c r="A2001" s="2" t="s">
        <v>380</v>
      </c>
      <c r="B2001" s="2" t="s">
        <v>1007</v>
      </c>
      <c r="C2001" s="5" t="s">
        <v>3233</v>
      </c>
      <c r="D2001" s="2" t="s">
        <v>3234</v>
      </c>
    </row>
    <row r="2002" spans="1:4" ht="12.95" customHeight="1" x14ac:dyDescent="0.25">
      <c r="A2002" s="2" t="s">
        <v>380</v>
      </c>
      <c r="B2002" s="2" t="s">
        <v>1007</v>
      </c>
      <c r="C2002" s="5" t="s">
        <v>3235</v>
      </c>
      <c r="D2002" s="2" t="s">
        <v>3236</v>
      </c>
    </row>
    <row r="2003" spans="1:4" ht="12.95" customHeight="1" x14ac:dyDescent="0.25">
      <c r="A2003" s="2" t="s">
        <v>380</v>
      </c>
      <c r="B2003" s="2" t="s">
        <v>1007</v>
      </c>
      <c r="C2003" s="5" t="s">
        <v>3237</v>
      </c>
      <c r="D2003" s="2" t="s">
        <v>3238</v>
      </c>
    </row>
    <row r="2004" spans="1:4" ht="12.95" customHeight="1" x14ac:dyDescent="0.25">
      <c r="A2004" s="2" t="s">
        <v>380</v>
      </c>
      <c r="B2004" s="2" t="s">
        <v>1007</v>
      </c>
      <c r="C2004" s="5" t="s">
        <v>1191</v>
      </c>
      <c r="D2004" s="2" t="s">
        <v>3239</v>
      </c>
    </row>
    <row r="2005" spans="1:4" ht="12.95" customHeight="1" x14ac:dyDescent="0.25">
      <c r="A2005" s="2" t="s">
        <v>380</v>
      </c>
      <c r="B2005" s="2" t="s">
        <v>1007</v>
      </c>
      <c r="C2005" s="5" t="s">
        <v>1125</v>
      </c>
      <c r="D2005" s="2" t="s">
        <v>3240</v>
      </c>
    </row>
    <row r="2006" spans="1:4" ht="12.95" customHeight="1" x14ac:dyDescent="0.25">
      <c r="A2006" s="2" t="s">
        <v>380</v>
      </c>
      <c r="B2006" s="2" t="s">
        <v>1007</v>
      </c>
      <c r="C2006" s="5" t="s">
        <v>1127</v>
      </c>
      <c r="D2006" s="2" t="s">
        <v>3241</v>
      </c>
    </row>
    <row r="2007" spans="1:4" ht="12.95" customHeight="1" x14ac:dyDescent="0.25">
      <c r="A2007" s="2" t="s">
        <v>380</v>
      </c>
      <c r="B2007" s="2" t="s">
        <v>1007</v>
      </c>
      <c r="C2007" s="5" t="s">
        <v>1129</v>
      </c>
      <c r="D2007" s="2" t="s">
        <v>3242</v>
      </c>
    </row>
    <row r="2008" spans="1:4" ht="12.95" customHeight="1" x14ac:dyDescent="0.25">
      <c r="A2008" s="2" t="s">
        <v>380</v>
      </c>
      <c r="B2008" s="2" t="s">
        <v>1007</v>
      </c>
      <c r="C2008" s="5" t="s">
        <v>1131</v>
      </c>
      <c r="D2008" s="2" t="s">
        <v>3243</v>
      </c>
    </row>
    <row r="2009" spans="1:4" ht="12.95" customHeight="1" x14ac:dyDescent="0.25">
      <c r="A2009" s="2" t="s">
        <v>380</v>
      </c>
      <c r="B2009" s="2" t="s">
        <v>1007</v>
      </c>
      <c r="C2009" s="5" t="s">
        <v>3244</v>
      </c>
      <c r="D2009" s="2" t="s">
        <v>3245</v>
      </c>
    </row>
    <row r="2010" spans="1:4" ht="12.95" customHeight="1" x14ac:dyDescent="0.25">
      <c r="A2010" s="2" t="s">
        <v>380</v>
      </c>
      <c r="B2010" s="2" t="s">
        <v>1007</v>
      </c>
      <c r="C2010" s="5" t="s">
        <v>3246</v>
      </c>
      <c r="D2010" s="2" t="s">
        <v>3247</v>
      </c>
    </row>
    <row r="2011" spans="1:4" ht="12.95" customHeight="1" x14ac:dyDescent="0.25">
      <c r="A2011" s="2" t="s">
        <v>380</v>
      </c>
      <c r="B2011" s="2" t="s">
        <v>1007</v>
      </c>
      <c r="C2011" s="5" t="s">
        <v>3248</v>
      </c>
      <c r="D2011" s="2" t="s">
        <v>1037</v>
      </c>
    </row>
    <row r="2012" spans="1:4" ht="12.95" customHeight="1" x14ac:dyDescent="0.25">
      <c r="A2012" s="2" t="s">
        <v>383</v>
      </c>
      <c r="B2012" s="2" t="s">
        <v>1007</v>
      </c>
      <c r="C2012" s="5" t="s">
        <v>982</v>
      </c>
      <c r="D2012" s="2" t="s">
        <v>983</v>
      </c>
    </row>
    <row r="2013" spans="1:4" ht="12.95" customHeight="1" x14ac:dyDescent="0.25">
      <c r="A2013" s="2" t="s">
        <v>386</v>
      </c>
      <c r="B2013" s="2" t="s">
        <v>977</v>
      </c>
      <c r="C2013" s="5" t="s">
        <v>996</v>
      </c>
      <c r="D2013" s="2" t="s">
        <v>997</v>
      </c>
    </row>
    <row r="2014" spans="1:4" ht="12.95" customHeight="1" x14ac:dyDescent="0.25">
      <c r="A2014" s="2" t="s">
        <v>386</v>
      </c>
      <c r="B2014" s="2" t="s">
        <v>977</v>
      </c>
      <c r="C2014" s="5" t="s">
        <v>978</v>
      </c>
      <c r="D2014" s="2" t="s">
        <v>979</v>
      </c>
    </row>
    <row r="2015" spans="1:4" ht="12.95" customHeight="1" x14ac:dyDescent="0.25">
      <c r="A2015" s="2" t="s">
        <v>386</v>
      </c>
      <c r="B2015" s="2" t="s">
        <v>977</v>
      </c>
      <c r="C2015" s="5" t="s">
        <v>980</v>
      </c>
      <c r="D2015" s="2" t="s">
        <v>981</v>
      </c>
    </row>
    <row r="2016" spans="1:4" ht="12.95" customHeight="1" x14ac:dyDescent="0.25">
      <c r="A2016" s="2" t="s">
        <v>386</v>
      </c>
      <c r="B2016" s="2" t="s">
        <v>977</v>
      </c>
      <c r="C2016" s="5" t="s">
        <v>982</v>
      </c>
      <c r="D2016" s="2" t="s">
        <v>983</v>
      </c>
    </row>
    <row r="2017" spans="1:4" ht="12.95" customHeight="1" x14ac:dyDescent="0.25">
      <c r="A2017" s="2" t="s">
        <v>386</v>
      </c>
      <c r="B2017" s="2" t="s">
        <v>977</v>
      </c>
      <c r="C2017" s="5" t="s">
        <v>1174</v>
      </c>
      <c r="D2017" s="2" t="s">
        <v>1059</v>
      </c>
    </row>
    <row r="2018" spans="1:4" ht="12.95" customHeight="1" x14ac:dyDescent="0.25">
      <c r="A2018" s="2" t="s">
        <v>386</v>
      </c>
      <c r="B2018" s="2" t="s">
        <v>977</v>
      </c>
      <c r="C2018" s="5" t="s">
        <v>984</v>
      </c>
      <c r="D2018" s="2" t="s">
        <v>3249</v>
      </c>
    </row>
    <row r="2019" spans="1:4" ht="12.95" customHeight="1" x14ac:dyDescent="0.25">
      <c r="A2019" s="2" t="s">
        <v>386</v>
      </c>
      <c r="B2019" s="2" t="s">
        <v>977</v>
      </c>
      <c r="C2019" s="5" t="s">
        <v>986</v>
      </c>
      <c r="D2019" s="2" t="s">
        <v>3250</v>
      </c>
    </row>
    <row r="2020" spans="1:4" ht="12.95" customHeight="1" x14ac:dyDescent="0.25">
      <c r="A2020" s="2" t="s">
        <v>386</v>
      </c>
      <c r="B2020" s="2" t="s">
        <v>977</v>
      </c>
      <c r="C2020" s="5" t="s">
        <v>988</v>
      </c>
      <c r="D2020" s="2" t="s">
        <v>3251</v>
      </c>
    </row>
    <row r="2021" spans="1:4" ht="12.95" customHeight="1" x14ac:dyDescent="0.25">
      <c r="A2021" s="2" t="s">
        <v>386</v>
      </c>
      <c r="B2021" s="2" t="s">
        <v>977</v>
      </c>
      <c r="C2021" s="5" t="s">
        <v>990</v>
      </c>
      <c r="D2021" s="2" t="s">
        <v>3252</v>
      </c>
    </row>
    <row r="2022" spans="1:4" ht="12.95" customHeight="1" x14ac:dyDescent="0.25">
      <c r="A2022" s="2" t="s">
        <v>386</v>
      </c>
      <c r="B2022" s="2" t="s">
        <v>977</v>
      </c>
      <c r="C2022" s="5" t="s">
        <v>992</v>
      </c>
      <c r="D2022" s="2" t="s">
        <v>3253</v>
      </c>
    </row>
    <row r="2023" spans="1:4" ht="12.95" customHeight="1" x14ac:dyDescent="0.25">
      <c r="A2023" s="2" t="s">
        <v>386</v>
      </c>
      <c r="B2023" s="2" t="s">
        <v>977</v>
      </c>
      <c r="C2023" s="5" t="s">
        <v>994</v>
      </c>
      <c r="D2023" s="2" t="s">
        <v>3254</v>
      </c>
    </row>
    <row r="2024" spans="1:4" ht="12.95" customHeight="1" x14ac:dyDescent="0.25">
      <c r="A2024" s="2" t="s">
        <v>386</v>
      </c>
      <c r="B2024" s="2" t="s">
        <v>977</v>
      </c>
      <c r="C2024" s="5" t="s">
        <v>1003</v>
      </c>
      <c r="D2024" s="2" t="s">
        <v>3255</v>
      </c>
    </row>
    <row r="2025" spans="1:4" ht="12.95" customHeight="1" x14ac:dyDescent="0.25">
      <c r="A2025" s="2" t="s">
        <v>386</v>
      </c>
      <c r="B2025" s="2" t="s">
        <v>977</v>
      </c>
      <c r="C2025" s="5" t="s">
        <v>1013</v>
      </c>
      <c r="D2025" s="2" t="s">
        <v>3256</v>
      </c>
    </row>
    <row r="2026" spans="1:4" ht="12.95" customHeight="1" x14ac:dyDescent="0.25">
      <c r="A2026" s="2" t="s">
        <v>386</v>
      </c>
      <c r="B2026" s="2" t="s">
        <v>977</v>
      </c>
      <c r="C2026" s="5" t="s">
        <v>1005</v>
      </c>
      <c r="D2026" s="2" t="s">
        <v>1037</v>
      </c>
    </row>
    <row r="2027" spans="1:4" ht="12.95" customHeight="1" x14ac:dyDescent="0.25">
      <c r="A2027" s="2" t="s">
        <v>389</v>
      </c>
      <c r="B2027" s="2" t="s">
        <v>977</v>
      </c>
      <c r="C2027" s="5" t="s">
        <v>982</v>
      </c>
      <c r="D2027" s="2" t="s">
        <v>983</v>
      </c>
    </row>
    <row r="2028" spans="1:4" ht="12.95" customHeight="1" x14ac:dyDescent="0.25">
      <c r="A2028" s="2" t="s">
        <v>392</v>
      </c>
      <c r="B2028" s="2" t="s">
        <v>977</v>
      </c>
      <c r="C2028" s="5" t="s">
        <v>996</v>
      </c>
      <c r="D2028" s="2" t="s">
        <v>997</v>
      </c>
    </row>
    <row r="2029" spans="1:4" ht="12.95" customHeight="1" x14ac:dyDescent="0.25">
      <c r="A2029" s="2" t="s">
        <v>392</v>
      </c>
      <c r="B2029" s="2" t="s">
        <v>977</v>
      </c>
      <c r="C2029" s="5" t="s">
        <v>978</v>
      </c>
      <c r="D2029" s="2" t="s">
        <v>1047</v>
      </c>
    </row>
    <row r="2030" spans="1:4" ht="12.95" customHeight="1" x14ac:dyDescent="0.25">
      <c r="A2030" s="2" t="s">
        <v>392</v>
      </c>
      <c r="B2030" s="2" t="s">
        <v>977</v>
      </c>
      <c r="C2030" s="5" t="s">
        <v>980</v>
      </c>
      <c r="D2030" s="2" t="s">
        <v>1041</v>
      </c>
    </row>
    <row r="2031" spans="1:4" ht="12.95" customHeight="1" x14ac:dyDescent="0.25">
      <c r="A2031" s="2" t="s">
        <v>392</v>
      </c>
      <c r="B2031" s="2" t="s">
        <v>977</v>
      </c>
      <c r="C2031" s="5" t="s">
        <v>982</v>
      </c>
      <c r="D2031" s="2" t="s">
        <v>983</v>
      </c>
    </row>
    <row r="2032" spans="1:4" ht="12.95" customHeight="1" x14ac:dyDescent="0.25">
      <c r="A2032" s="2" t="s">
        <v>395</v>
      </c>
      <c r="B2032" s="2" t="s">
        <v>977</v>
      </c>
      <c r="C2032" s="5" t="s">
        <v>996</v>
      </c>
      <c r="D2032" s="2" t="s">
        <v>997</v>
      </c>
    </row>
    <row r="2033" spans="1:4" ht="12.95" customHeight="1" x14ac:dyDescent="0.25">
      <c r="A2033" s="2" t="s">
        <v>395</v>
      </c>
      <c r="B2033" s="2" t="s">
        <v>977</v>
      </c>
      <c r="C2033" s="5" t="s">
        <v>978</v>
      </c>
      <c r="D2033" s="2" t="s">
        <v>1047</v>
      </c>
    </row>
    <row r="2034" spans="1:4" ht="12.95" customHeight="1" x14ac:dyDescent="0.25">
      <c r="A2034" s="2" t="s">
        <v>395</v>
      </c>
      <c r="B2034" s="2" t="s">
        <v>977</v>
      </c>
      <c r="C2034" s="5" t="s">
        <v>980</v>
      </c>
      <c r="D2034" s="2" t="s">
        <v>1041</v>
      </c>
    </row>
    <row r="2035" spans="1:4" ht="12.95" customHeight="1" x14ac:dyDescent="0.25">
      <c r="A2035" s="2" t="s">
        <v>395</v>
      </c>
      <c r="B2035" s="2" t="s">
        <v>977</v>
      </c>
      <c r="C2035" s="5" t="s">
        <v>984</v>
      </c>
      <c r="D2035" s="2" t="s">
        <v>1061</v>
      </c>
    </row>
    <row r="2036" spans="1:4" ht="12.95" customHeight="1" x14ac:dyDescent="0.25">
      <c r="A2036" s="2" t="s">
        <v>395</v>
      </c>
      <c r="B2036" s="2" t="s">
        <v>977</v>
      </c>
      <c r="C2036" s="5" t="s">
        <v>986</v>
      </c>
      <c r="D2036" s="2" t="s">
        <v>1062</v>
      </c>
    </row>
    <row r="2037" spans="1:4" ht="12.95" customHeight="1" x14ac:dyDescent="0.25">
      <c r="A2037" s="2" t="s">
        <v>398</v>
      </c>
      <c r="B2037" s="2" t="s">
        <v>977</v>
      </c>
      <c r="C2037" s="5" t="s">
        <v>978</v>
      </c>
      <c r="D2037" s="2" t="s">
        <v>979</v>
      </c>
    </row>
    <row r="2038" spans="1:4" ht="12.95" customHeight="1" x14ac:dyDescent="0.25">
      <c r="A2038" s="2" t="s">
        <v>398</v>
      </c>
      <c r="B2038" s="2" t="s">
        <v>977</v>
      </c>
      <c r="C2038" s="5" t="s">
        <v>980</v>
      </c>
      <c r="D2038" s="2" t="s">
        <v>981</v>
      </c>
    </row>
    <row r="2039" spans="1:4" ht="12.95" customHeight="1" x14ac:dyDescent="0.25">
      <c r="A2039" s="2" t="s">
        <v>398</v>
      </c>
      <c r="B2039" s="2" t="s">
        <v>977</v>
      </c>
      <c r="C2039" s="5" t="s">
        <v>982</v>
      </c>
      <c r="D2039" s="2" t="s">
        <v>983</v>
      </c>
    </row>
    <row r="2040" spans="1:4" ht="12.95" customHeight="1" x14ac:dyDescent="0.25">
      <c r="A2040" s="2" t="s">
        <v>398</v>
      </c>
      <c r="B2040" s="2" t="s">
        <v>977</v>
      </c>
      <c r="C2040" s="5" t="s">
        <v>984</v>
      </c>
      <c r="D2040" s="2" t="s">
        <v>3257</v>
      </c>
    </row>
    <row r="2041" spans="1:4" ht="12.95" customHeight="1" x14ac:dyDescent="0.25">
      <c r="A2041" s="2" t="s">
        <v>398</v>
      </c>
      <c r="B2041" s="2" t="s">
        <v>977</v>
      </c>
      <c r="C2041" s="5" t="s">
        <v>986</v>
      </c>
      <c r="D2041" s="2" t="s">
        <v>3258</v>
      </c>
    </row>
    <row r="2042" spans="1:4" ht="12.95" customHeight="1" x14ac:dyDescent="0.25">
      <c r="A2042" s="2" t="s">
        <v>398</v>
      </c>
      <c r="B2042" s="2" t="s">
        <v>977</v>
      </c>
      <c r="C2042" s="5" t="s">
        <v>988</v>
      </c>
      <c r="D2042" s="2" t="s">
        <v>3259</v>
      </c>
    </row>
    <row r="2043" spans="1:4" ht="12.95" customHeight="1" x14ac:dyDescent="0.25">
      <c r="A2043" s="2" t="s">
        <v>401</v>
      </c>
      <c r="B2043" s="2" t="s">
        <v>1007</v>
      </c>
      <c r="C2043" s="5" t="s">
        <v>1168</v>
      </c>
      <c r="D2043" s="2" t="s">
        <v>979</v>
      </c>
    </row>
    <row r="2044" spans="1:4" ht="12.95" customHeight="1" x14ac:dyDescent="0.25">
      <c r="A2044" s="2" t="s">
        <v>401</v>
      </c>
      <c r="B2044" s="2" t="s">
        <v>1007</v>
      </c>
      <c r="C2044" s="5" t="s">
        <v>978</v>
      </c>
      <c r="D2044" s="2" t="s">
        <v>979</v>
      </c>
    </row>
    <row r="2045" spans="1:4" ht="12.95" customHeight="1" x14ac:dyDescent="0.25">
      <c r="A2045" s="2" t="s">
        <v>401</v>
      </c>
      <c r="B2045" s="2" t="s">
        <v>1007</v>
      </c>
      <c r="C2045" s="5" t="s">
        <v>3260</v>
      </c>
      <c r="D2045" s="2" t="s">
        <v>3261</v>
      </c>
    </row>
    <row r="2046" spans="1:4" ht="12.95" customHeight="1" x14ac:dyDescent="0.25">
      <c r="A2046" s="2" t="s">
        <v>401</v>
      </c>
      <c r="B2046" s="2" t="s">
        <v>1007</v>
      </c>
      <c r="C2046" s="5" t="s">
        <v>3262</v>
      </c>
      <c r="D2046" s="2" t="s">
        <v>3263</v>
      </c>
    </row>
    <row r="2047" spans="1:4" ht="12.95" customHeight="1" x14ac:dyDescent="0.25">
      <c r="A2047" s="2" t="s">
        <v>401</v>
      </c>
      <c r="B2047" s="2" t="s">
        <v>1007</v>
      </c>
      <c r="C2047" s="5" t="s">
        <v>3264</v>
      </c>
      <c r="D2047" s="2" t="s">
        <v>3265</v>
      </c>
    </row>
    <row r="2048" spans="1:4" ht="12.95" customHeight="1" x14ac:dyDescent="0.25">
      <c r="A2048" s="2" t="s">
        <v>401</v>
      </c>
      <c r="B2048" s="2" t="s">
        <v>1007</v>
      </c>
      <c r="C2048" s="5" t="s">
        <v>3266</v>
      </c>
      <c r="D2048" s="2" t="s">
        <v>3267</v>
      </c>
    </row>
    <row r="2049" spans="1:4" ht="12.95" customHeight="1" x14ac:dyDescent="0.25">
      <c r="A2049" s="2" t="s">
        <v>401</v>
      </c>
      <c r="B2049" s="2" t="s">
        <v>1007</v>
      </c>
      <c r="C2049" s="5" t="s">
        <v>3268</v>
      </c>
      <c r="D2049" s="2" t="s">
        <v>3269</v>
      </c>
    </row>
    <row r="2050" spans="1:4" ht="12.95" customHeight="1" x14ac:dyDescent="0.25">
      <c r="A2050" s="2" t="s">
        <v>401</v>
      </c>
      <c r="B2050" s="2" t="s">
        <v>1007</v>
      </c>
      <c r="C2050" s="5" t="s">
        <v>3270</v>
      </c>
      <c r="D2050" s="2" t="s">
        <v>3271</v>
      </c>
    </row>
    <row r="2051" spans="1:4" ht="12.95" customHeight="1" x14ac:dyDescent="0.25">
      <c r="A2051" s="2" t="s">
        <v>401</v>
      </c>
      <c r="B2051" s="2" t="s">
        <v>1007</v>
      </c>
      <c r="C2051" s="5" t="s">
        <v>3272</v>
      </c>
      <c r="D2051" s="2" t="s">
        <v>3273</v>
      </c>
    </row>
    <row r="2052" spans="1:4" ht="12.95" customHeight="1" x14ac:dyDescent="0.25">
      <c r="A2052" s="2" t="s">
        <v>401</v>
      </c>
      <c r="B2052" s="2" t="s">
        <v>1007</v>
      </c>
      <c r="C2052" s="5" t="s">
        <v>3274</v>
      </c>
      <c r="D2052" s="2" t="s">
        <v>3275</v>
      </c>
    </row>
    <row r="2053" spans="1:4" ht="12.95" customHeight="1" x14ac:dyDescent="0.25">
      <c r="A2053" s="2" t="s">
        <v>401</v>
      </c>
      <c r="B2053" s="2" t="s">
        <v>1007</v>
      </c>
      <c r="C2053" s="5" t="s">
        <v>3276</v>
      </c>
      <c r="D2053" s="2" t="s">
        <v>3156</v>
      </c>
    </row>
    <row r="2054" spans="1:4" ht="12.95" customHeight="1" x14ac:dyDescent="0.25">
      <c r="A2054" s="2" t="s">
        <v>401</v>
      </c>
      <c r="B2054" s="2" t="s">
        <v>1007</v>
      </c>
      <c r="C2054" s="5" t="s">
        <v>3277</v>
      </c>
      <c r="D2054" s="2" t="s">
        <v>3278</v>
      </c>
    </row>
    <row r="2055" spans="1:4" ht="12.95" customHeight="1" x14ac:dyDescent="0.25">
      <c r="A2055" s="2" t="s">
        <v>401</v>
      </c>
      <c r="B2055" s="2" t="s">
        <v>1007</v>
      </c>
      <c r="C2055" s="5" t="s">
        <v>3279</v>
      </c>
      <c r="D2055" s="2" t="s">
        <v>3280</v>
      </c>
    </row>
    <row r="2056" spans="1:4" ht="12.95" customHeight="1" x14ac:dyDescent="0.25">
      <c r="A2056" s="2" t="s">
        <v>401</v>
      </c>
      <c r="B2056" s="2" t="s">
        <v>1007</v>
      </c>
      <c r="C2056" s="5" t="s">
        <v>3281</v>
      </c>
      <c r="D2056" s="2" t="s">
        <v>3282</v>
      </c>
    </row>
    <row r="2057" spans="1:4" ht="12.95" customHeight="1" x14ac:dyDescent="0.25">
      <c r="A2057" s="2" t="s">
        <v>401</v>
      </c>
      <c r="B2057" s="2" t="s">
        <v>1007</v>
      </c>
      <c r="C2057" s="5" t="s">
        <v>3283</v>
      </c>
      <c r="D2057" s="2" t="s">
        <v>3284</v>
      </c>
    </row>
    <row r="2058" spans="1:4" ht="12.95" customHeight="1" x14ac:dyDescent="0.25">
      <c r="A2058" s="2" t="s">
        <v>401</v>
      </c>
      <c r="B2058" s="2" t="s">
        <v>1007</v>
      </c>
      <c r="C2058" s="5" t="s">
        <v>3285</v>
      </c>
      <c r="D2058" s="2" t="s">
        <v>3286</v>
      </c>
    </row>
    <row r="2059" spans="1:4" ht="12.95" customHeight="1" x14ac:dyDescent="0.25">
      <c r="A2059" s="2" t="s">
        <v>401</v>
      </c>
      <c r="B2059" s="2" t="s">
        <v>1007</v>
      </c>
      <c r="C2059" s="5" t="s">
        <v>3287</v>
      </c>
      <c r="D2059" s="2" t="s">
        <v>3288</v>
      </c>
    </row>
    <row r="2060" spans="1:4" ht="12.95" customHeight="1" x14ac:dyDescent="0.25">
      <c r="A2060" s="2" t="s">
        <v>401</v>
      </c>
      <c r="B2060" s="2" t="s">
        <v>1007</v>
      </c>
      <c r="C2060" s="5" t="s">
        <v>3289</v>
      </c>
      <c r="D2060" s="2" t="s">
        <v>3290</v>
      </c>
    </row>
    <row r="2061" spans="1:4" ht="12.95" customHeight="1" x14ac:dyDescent="0.25">
      <c r="A2061" s="2" t="s">
        <v>401</v>
      </c>
      <c r="B2061" s="2" t="s">
        <v>1007</v>
      </c>
      <c r="C2061" s="5" t="s">
        <v>3291</v>
      </c>
      <c r="D2061" s="2" t="s">
        <v>3292</v>
      </c>
    </row>
    <row r="2062" spans="1:4" ht="12.95" customHeight="1" x14ac:dyDescent="0.25">
      <c r="A2062" s="2" t="s">
        <v>401</v>
      </c>
      <c r="B2062" s="2" t="s">
        <v>1007</v>
      </c>
      <c r="C2062" s="5" t="s">
        <v>3293</v>
      </c>
      <c r="D2062" s="2" t="s">
        <v>3294</v>
      </c>
    </row>
    <row r="2063" spans="1:4" ht="12.95" customHeight="1" x14ac:dyDescent="0.25">
      <c r="A2063" s="2" t="s">
        <v>401</v>
      </c>
      <c r="B2063" s="2" t="s">
        <v>1007</v>
      </c>
      <c r="C2063" s="5" t="s">
        <v>3295</v>
      </c>
      <c r="D2063" s="2" t="s">
        <v>3296</v>
      </c>
    </row>
    <row r="2064" spans="1:4" ht="12.95" customHeight="1" x14ac:dyDescent="0.25">
      <c r="A2064" s="2" t="s">
        <v>401</v>
      </c>
      <c r="B2064" s="2" t="s">
        <v>1007</v>
      </c>
      <c r="C2064" s="5" t="s">
        <v>3297</v>
      </c>
      <c r="D2064" s="2" t="s">
        <v>3298</v>
      </c>
    </row>
    <row r="2065" spans="1:4" ht="12.95" customHeight="1" x14ac:dyDescent="0.25">
      <c r="A2065" s="2" t="s">
        <v>401</v>
      </c>
      <c r="B2065" s="2" t="s">
        <v>1007</v>
      </c>
      <c r="C2065" s="5" t="s">
        <v>3299</v>
      </c>
      <c r="D2065" s="2" t="s">
        <v>3300</v>
      </c>
    </row>
    <row r="2066" spans="1:4" ht="12.95" customHeight="1" x14ac:dyDescent="0.25">
      <c r="A2066" s="2" t="s">
        <v>401</v>
      </c>
      <c r="B2066" s="2" t="s">
        <v>1007</v>
      </c>
      <c r="C2066" s="5" t="s">
        <v>3301</v>
      </c>
      <c r="D2066" s="2" t="s">
        <v>3302</v>
      </c>
    </row>
    <row r="2067" spans="1:4" ht="12.95" customHeight="1" x14ac:dyDescent="0.25">
      <c r="A2067" s="2" t="s">
        <v>401</v>
      </c>
      <c r="B2067" s="2" t="s">
        <v>1007</v>
      </c>
      <c r="C2067" s="5" t="s">
        <v>3303</v>
      </c>
      <c r="D2067" s="2" t="s">
        <v>3304</v>
      </c>
    </row>
    <row r="2068" spans="1:4" ht="12.95" customHeight="1" x14ac:dyDescent="0.25">
      <c r="A2068" s="2" t="s">
        <v>401</v>
      </c>
      <c r="B2068" s="2" t="s">
        <v>1007</v>
      </c>
      <c r="C2068" s="5" t="s">
        <v>3305</v>
      </c>
      <c r="D2068" s="2" t="s">
        <v>3306</v>
      </c>
    </row>
    <row r="2069" spans="1:4" ht="12.95" customHeight="1" x14ac:dyDescent="0.25">
      <c r="A2069" s="2" t="s">
        <v>401</v>
      </c>
      <c r="B2069" s="2" t="s">
        <v>1007</v>
      </c>
      <c r="C2069" s="5" t="s">
        <v>3307</v>
      </c>
      <c r="D2069" s="2" t="s">
        <v>3308</v>
      </c>
    </row>
    <row r="2070" spans="1:4" ht="12.95" customHeight="1" x14ac:dyDescent="0.25">
      <c r="A2070" s="2" t="s">
        <v>401</v>
      </c>
      <c r="B2070" s="2" t="s">
        <v>1007</v>
      </c>
      <c r="C2070" s="5" t="s">
        <v>3309</v>
      </c>
      <c r="D2070" s="2" t="s">
        <v>3310</v>
      </c>
    </row>
    <row r="2071" spans="1:4" ht="12.95" customHeight="1" x14ac:dyDescent="0.25">
      <c r="A2071" s="2" t="s">
        <v>401</v>
      </c>
      <c r="B2071" s="2" t="s">
        <v>1007</v>
      </c>
      <c r="C2071" s="5" t="s">
        <v>3311</v>
      </c>
      <c r="D2071" s="2" t="s">
        <v>3312</v>
      </c>
    </row>
    <row r="2072" spans="1:4" ht="12.95" customHeight="1" x14ac:dyDescent="0.25">
      <c r="A2072" s="2" t="s">
        <v>401</v>
      </c>
      <c r="B2072" s="2" t="s">
        <v>1007</v>
      </c>
      <c r="C2072" s="5" t="s">
        <v>3313</v>
      </c>
      <c r="D2072" s="2" t="s">
        <v>3314</v>
      </c>
    </row>
    <row r="2073" spans="1:4" ht="12.95" customHeight="1" x14ac:dyDescent="0.25">
      <c r="A2073" s="2" t="s">
        <v>401</v>
      </c>
      <c r="B2073" s="2" t="s">
        <v>1007</v>
      </c>
      <c r="C2073" s="5" t="s">
        <v>3315</v>
      </c>
      <c r="D2073" s="2" t="s">
        <v>3316</v>
      </c>
    </row>
    <row r="2074" spans="1:4" ht="12.95" customHeight="1" x14ac:dyDescent="0.25">
      <c r="A2074" s="2" t="s">
        <v>401</v>
      </c>
      <c r="B2074" s="2" t="s">
        <v>1007</v>
      </c>
      <c r="C2074" s="5" t="s">
        <v>3317</v>
      </c>
      <c r="D2074" s="2" t="s">
        <v>3318</v>
      </c>
    </row>
    <row r="2075" spans="1:4" ht="12.95" customHeight="1" x14ac:dyDescent="0.25">
      <c r="A2075" s="2" t="s">
        <v>401</v>
      </c>
      <c r="B2075" s="2" t="s">
        <v>1007</v>
      </c>
      <c r="C2075" s="5" t="s">
        <v>3319</v>
      </c>
      <c r="D2075" s="2" t="s">
        <v>3320</v>
      </c>
    </row>
    <row r="2076" spans="1:4" ht="12.95" customHeight="1" x14ac:dyDescent="0.25">
      <c r="A2076" s="2" t="s">
        <v>401</v>
      </c>
      <c r="B2076" s="2" t="s">
        <v>1007</v>
      </c>
      <c r="C2076" s="5" t="s">
        <v>3321</v>
      </c>
      <c r="D2076" s="2" t="s">
        <v>3322</v>
      </c>
    </row>
    <row r="2077" spans="1:4" ht="12.95" customHeight="1" x14ac:dyDescent="0.25">
      <c r="A2077" s="2" t="s">
        <v>401</v>
      </c>
      <c r="B2077" s="2" t="s">
        <v>1007</v>
      </c>
      <c r="C2077" s="5" t="s">
        <v>3323</v>
      </c>
      <c r="D2077" s="2" t="s">
        <v>3324</v>
      </c>
    </row>
    <row r="2078" spans="1:4" ht="12.95" customHeight="1" x14ac:dyDescent="0.25">
      <c r="A2078" s="2" t="s">
        <v>401</v>
      </c>
      <c r="B2078" s="2" t="s">
        <v>1007</v>
      </c>
      <c r="C2078" s="5" t="s">
        <v>3325</v>
      </c>
      <c r="D2078" s="2" t="s">
        <v>3326</v>
      </c>
    </row>
    <row r="2079" spans="1:4" ht="12.95" customHeight="1" x14ac:dyDescent="0.25">
      <c r="A2079" s="2" t="s">
        <v>401</v>
      </c>
      <c r="B2079" s="2" t="s">
        <v>1007</v>
      </c>
      <c r="C2079" s="5" t="s">
        <v>3327</v>
      </c>
      <c r="D2079" s="2" t="s">
        <v>3328</v>
      </c>
    </row>
    <row r="2080" spans="1:4" ht="12.95" customHeight="1" x14ac:dyDescent="0.25">
      <c r="A2080" s="2" t="s">
        <v>401</v>
      </c>
      <c r="B2080" s="2" t="s">
        <v>1007</v>
      </c>
      <c r="C2080" s="5" t="s">
        <v>3329</v>
      </c>
      <c r="D2080" s="2" t="s">
        <v>3330</v>
      </c>
    </row>
    <row r="2081" spans="1:4" ht="12.95" customHeight="1" x14ac:dyDescent="0.25">
      <c r="A2081" s="2" t="s">
        <v>401</v>
      </c>
      <c r="B2081" s="2" t="s">
        <v>1007</v>
      </c>
      <c r="C2081" s="5" t="s">
        <v>3331</v>
      </c>
      <c r="D2081" s="2" t="s">
        <v>3332</v>
      </c>
    </row>
    <row r="2082" spans="1:4" ht="12.95" customHeight="1" x14ac:dyDescent="0.25">
      <c r="A2082" s="2" t="s">
        <v>401</v>
      </c>
      <c r="B2082" s="2" t="s">
        <v>1007</v>
      </c>
      <c r="C2082" s="5" t="s">
        <v>3333</v>
      </c>
      <c r="D2082" s="2" t="s">
        <v>3334</v>
      </c>
    </row>
    <row r="2083" spans="1:4" ht="12.95" customHeight="1" x14ac:dyDescent="0.25">
      <c r="A2083" s="2" t="s">
        <v>401</v>
      </c>
      <c r="B2083" s="2" t="s">
        <v>1007</v>
      </c>
      <c r="C2083" s="5" t="s">
        <v>3335</v>
      </c>
      <c r="D2083" s="2" t="s">
        <v>3336</v>
      </c>
    </row>
    <row r="2084" spans="1:4" ht="12.95" customHeight="1" x14ac:dyDescent="0.25">
      <c r="A2084" s="2" t="s">
        <v>401</v>
      </c>
      <c r="B2084" s="2" t="s">
        <v>1007</v>
      </c>
      <c r="C2084" s="5" t="s">
        <v>3337</v>
      </c>
      <c r="D2084" s="2" t="s">
        <v>3338</v>
      </c>
    </row>
    <row r="2085" spans="1:4" ht="12.95" customHeight="1" x14ac:dyDescent="0.25">
      <c r="A2085" s="2" t="s">
        <v>401</v>
      </c>
      <c r="B2085" s="2" t="s">
        <v>1007</v>
      </c>
      <c r="C2085" s="5" t="s">
        <v>3339</v>
      </c>
      <c r="D2085" s="2" t="s">
        <v>3340</v>
      </c>
    </row>
    <row r="2086" spans="1:4" ht="12.95" customHeight="1" x14ac:dyDescent="0.25">
      <c r="A2086" s="2" t="s">
        <v>401</v>
      </c>
      <c r="B2086" s="2" t="s">
        <v>1007</v>
      </c>
      <c r="C2086" s="5" t="s">
        <v>3341</v>
      </c>
      <c r="D2086" s="2" t="s">
        <v>3342</v>
      </c>
    </row>
    <row r="2087" spans="1:4" ht="12.95" customHeight="1" x14ac:dyDescent="0.25">
      <c r="A2087" s="2" t="s">
        <v>401</v>
      </c>
      <c r="B2087" s="2" t="s">
        <v>1007</v>
      </c>
      <c r="C2087" s="5" t="s">
        <v>3343</v>
      </c>
      <c r="D2087" s="2" t="s">
        <v>3344</v>
      </c>
    </row>
    <row r="2088" spans="1:4" ht="12.95" customHeight="1" x14ac:dyDescent="0.25">
      <c r="A2088" s="2" t="s">
        <v>401</v>
      </c>
      <c r="B2088" s="2" t="s">
        <v>1007</v>
      </c>
      <c r="C2088" s="5" t="s">
        <v>3345</v>
      </c>
      <c r="D2088" s="2" t="s">
        <v>3346</v>
      </c>
    </row>
    <row r="2089" spans="1:4" ht="12.95" customHeight="1" x14ac:dyDescent="0.25">
      <c r="A2089" s="2" t="s">
        <v>401</v>
      </c>
      <c r="B2089" s="2" t="s">
        <v>1007</v>
      </c>
      <c r="C2089" s="5" t="s">
        <v>3347</v>
      </c>
      <c r="D2089" s="2" t="s">
        <v>3348</v>
      </c>
    </row>
    <row r="2090" spans="1:4" ht="12.95" customHeight="1" x14ac:dyDescent="0.25">
      <c r="A2090" s="2" t="s">
        <v>401</v>
      </c>
      <c r="B2090" s="2" t="s">
        <v>1007</v>
      </c>
      <c r="C2090" s="5" t="s">
        <v>3349</v>
      </c>
      <c r="D2090" s="2" t="s">
        <v>3350</v>
      </c>
    </row>
    <row r="2091" spans="1:4" ht="12.95" customHeight="1" x14ac:dyDescent="0.25">
      <c r="A2091" s="2" t="s">
        <v>401</v>
      </c>
      <c r="B2091" s="2" t="s">
        <v>1007</v>
      </c>
      <c r="C2091" s="5" t="s">
        <v>3351</v>
      </c>
      <c r="D2091" s="2" t="s">
        <v>3352</v>
      </c>
    </row>
    <row r="2092" spans="1:4" ht="12.95" customHeight="1" x14ac:dyDescent="0.25">
      <c r="A2092" s="2" t="s">
        <v>401</v>
      </c>
      <c r="B2092" s="2" t="s">
        <v>1007</v>
      </c>
      <c r="C2092" s="5" t="s">
        <v>3353</v>
      </c>
      <c r="D2092" s="2" t="s">
        <v>3354</v>
      </c>
    </row>
    <row r="2093" spans="1:4" ht="12.95" customHeight="1" x14ac:dyDescent="0.25">
      <c r="A2093" s="2" t="s">
        <v>401</v>
      </c>
      <c r="B2093" s="2" t="s">
        <v>1007</v>
      </c>
      <c r="C2093" s="5" t="s">
        <v>3355</v>
      </c>
      <c r="D2093" s="2" t="s">
        <v>3356</v>
      </c>
    </row>
    <row r="2094" spans="1:4" ht="12.95" customHeight="1" x14ac:dyDescent="0.25">
      <c r="A2094" s="2" t="s">
        <v>401</v>
      </c>
      <c r="B2094" s="2" t="s">
        <v>1007</v>
      </c>
      <c r="C2094" s="5" t="s">
        <v>3357</v>
      </c>
      <c r="D2094" s="2" t="s">
        <v>3358</v>
      </c>
    </row>
    <row r="2095" spans="1:4" ht="12.95" customHeight="1" x14ac:dyDescent="0.25">
      <c r="A2095" s="2" t="s">
        <v>401</v>
      </c>
      <c r="B2095" s="2" t="s">
        <v>1007</v>
      </c>
      <c r="C2095" s="5" t="s">
        <v>3359</v>
      </c>
      <c r="D2095" s="2" t="s">
        <v>3360</v>
      </c>
    </row>
    <row r="2096" spans="1:4" ht="12.95" customHeight="1" x14ac:dyDescent="0.25">
      <c r="A2096" s="2" t="s">
        <v>401</v>
      </c>
      <c r="B2096" s="2" t="s">
        <v>1007</v>
      </c>
      <c r="C2096" s="5" t="s">
        <v>3361</v>
      </c>
      <c r="D2096" s="2" t="s">
        <v>3362</v>
      </c>
    </row>
    <row r="2097" spans="1:4" ht="12.95" customHeight="1" x14ac:dyDescent="0.25">
      <c r="A2097" s="2" t="s">
        <v>401</v>
      </c>
      <c r="B2097" s="2" t="s">
        <v>1007</v>
      </c>
      <c r="C2097" s="5" t="s">
        <v>3363</v>
      </c>
      <c r="D2097" s="2" t="s">
        <v>3364</v>
      </c>
    </row>
    <row r="2098" spans="1:4" ht="12.95" customHeight="1" x14ac:dyDescent="0.25">
      <c r="A2098" s="2" t="s">
        <v>401</v>
      </c>
      <c r="B2098" s="2" t="s">
        <v>1007</v>
      </c>
      <c r="C2098" s="5" t="s">
        <v>3365</v>
      </c>
      <c r="D2098" s="2" t="s">
        <v>3366</v>
      </c>
    </row>
    <row r="2099" spans="1:4" ht="12.95" customHeight="1" x14ac:dyDescent="0.25">
      <c r="A2099" s="2" t="s">
        <v>401</v>
      </c>
      <c r="B2099" s="2" t="s">
        <v>1007</v>
      </c>
      <c r="C2099" s="5" t="s">
        <v>3367</v>
      </c>
      <c r="D2099" s="2" t="s">
        <v>3368</v>
      </c>
    </row>
    <row r="2100" spans="1:4" ht="12.95" customHeight="1" x14ac:dyDescent="0.25">
      <c r="A2100" s="2" t="s">
        <v>401</v>
      </c>
      <c r="B2100" s="2" t="s">
        <v>1007</v>
      </c>
      <c r="C2100" s="5" t="s">
        <v>3369</v>
      </c>
      <c r="D2100" s="2" t="s">
        <v>3370</v>
      </c>
    </row>
    <row r="2101" spans="1:4" ht="12.95" customHeight="1" x14ac:dyDescent="0.25">
      <c r="A2101" s="2" t="s">
        <v>401</v>
      </c>
      <c r="B2101" s="2" t="s">
        <v>1007</v>
      </c>
      <c r="C2101" s="5" t="s">
        <v>3371</v>
      </c>
      <c r="D2101" s="2" t="s">
        <v>3372</v>
      </c>
    </row>
    <row r="2102" spans="1:4" ht="12.95" customHeight="1" x14ac:dyDescent="0.25">
      <c r="A2102" s="2" t="s">
        <v>401</v>
      </c>
      <c r="B2102" s="2" t="s">
        <v>1007</v>
      </c>
      <c r="C2102" s="5" t="s">
        <v>3373</v>
      </c>
      <c r="D2102" s="2" t="s">
        <v>3374</v>
      </c>
    </row>
    <row r="2103" spans="1:4" ht="12.95" customHeight="1" x14ac:dyDescent="0.25">
      <c r="A2103" s="2" t="s">
        <v>401</v>
      </c>
      <c r="B2103" s="2" t="s">
        <v>1007</v>
      </c>
      <c r="C2103" s="5" t="s">
        <v>3375</v>
      </c>
      <c r="D2103" s="2" t="s">
        <v>3376</v>
      </c>
    </row>
    <row r="2104" spans="1:4" ht="12.95" customHeight="1" x14ac:dyDescent="0.25">
      <c r="A2104" s="2" t="s">
        <v>401</v>
      </c>
      <c r="B2104" s="2" t="s">
        <v>1007</v>
      </c>
      <c r="C2104" s="5" t="s">
        <v>3377</v>
      </c>
      <c r="D2104" s="2" t="s">
        <v>3378</v>
      </c>
    </row>
    <row r="2105" spans="1:4" ht="12.95" customHeight="1" x14ac:dyDescent="0.25">
      <c r="A2105" s="2" t="s">
        <v>401</v>
      </c>
      <c r="B2105" s="2" t="s">
        <v>1007</v>
      </c>
      <c r="C2105" s="5" t="s">
        <v>3379</v>
      </c>
      <c r="D2105" s="2" t="s">
        <v>3380</v>
      </c>
    </row>
    <row r="2106" spans="1:4" ht="12.95" customHeight="1" x14ac:dyDescent="0.25">
      <c r="A2106" s="2" t="s">
        <v>401</v>
      </c>
      <c r="B2106" s="2" t="s">
        <v>1007</v>
      </c>
      <c r="C2106" s="5" t="s">
        <v>3381</v>
      </c>
      <c r="D2106" s="2" t="s">
        <v>3382</v>
      </c>
    </row>
    <row r="2107" spans="1:4" ht="12.95" customHeight="1" x14ac:dyDescent="0.25">
      <c r="A2107" s="2" t="s">
        <v>401</v>
      </c>
      <c r="B2107" s="2" t="s">
        <v>1007</v>
      </c>
      <c r="C2107" s="5" t="s">
        <v>3383</v>
      </c>
      <c r="D2107" s="2" t="s">
        <v>3384</v>
      </c>
    </row>
    <row r="2108" spans="1:4" ht="12.95" customHeight="1" x14ac:dyDescent="0.25">
      <c r="A2108" s="2" t="s">
        <v>401</v>
      </c>
      <c r="B2108" s="2" t="s">
        <v>1007</v>
      </c>
      <c r="C2108" s="5" t="s">
        <v>3385</v>
      </c>
      <c r="D2108" s="2" t="s">
        <v>3386</v>
      </c>
    </row>
    <row r="2109" spans="1:4" ht="12.95" customHeight="1" x14ac:dyDescent="0.25">
      <c r="A2109" s="2" t="s">
        <v>401</v>
      </c>
      <c r="B2109" s="2" t="s">
        <v>1007</v>
      </c>
      <c r="C2109" s="5" t="s">
        <v>3387</v>
      </c>
      <c r="D2109" s="2" t="s">
        <v>3388</v>
      </c>
    </row>
    <row r="2110" spans="1:4" ht="12.95" customHeight="1" x14ac:dyDescent="0.25">
      <c r="A2110" s="2" t="s">
        <v>401</v>
      </c>
      <c r="B2110" s="2" t="s">
        <v>1007</v>
      </c>
      <c r="C2110" s="5" t="s">
        <v>3389</v>
      </c>
      <c r="D2110" s="2" t="s">
        <v>3390</v>
      </c>
    </row>
    <row r="2111" spans="1:4" ht="12.95" customHeight="1" x14ac:dyDescent="0.25">
      <c r="A2111" s="2" t="s">
        <v>401</v>
      </c>
      <c r="B2111" s="2" t="s">
        <v>1007</v>
      </c>
      <c r="C2111" s="5" t="s">
        <v>3391</v>
      </c>
      <c r="D2111" s="2" t="s">
        <v>3392</v>
      </c>
    </row>
    <row r="2112" spans="1:4" ht="12.95" customHeight="1" x14ac:dyDescent="0.25">
      <c r="A2112" s="2" t="s">
        <v>401</v>
      </c>
      <c r="B2112" s="2" t="s">
        <v>1007</v>
      </c>
      <c r="C2112" s="5" t="s">
        <v>3393</v>
      </c>
      <c r="D2112" s="2" t="s">
        <v>3394</v>
      </c>
    </row>
    <row r="2113" spans="1:4" ht="12.95" customHeight="1" x14ac:dyDescent="0.25">
      <c r="A2113" s="2" t="s">
        <v>401</v>
      </c>
      <c r="B2113" s="2" t="s">
        <v>1007</v>
      </c>
      <c r="C2113" s="5" t="s">
        <v>3395</v>
      </c>
      <c r="D2113" s="2" t="s">
        <v>3396</v>
      </c>
    </row>
    <row r="2114" spans="1:4" ht="12.95" customHeight="1" x14ac:dyDescent="0.25">
      <c r="A2114" s="2" t="s">
        <v>401</v>
      </c>
      <c r="B2114" s="2" t="s">
        <v>1007</v>
      </c>
      <c r="C2114" s="5" t="s">
        <v>3397</v>
      </c>
      <c r="D2114" s="2" t="s">
        <v>3398</v>
      </c>
    </row>
    <row r="2115" spans="1:4" ht="12.95" customHeight="1" x14ac:dyDescent="0.25">
      <c r="A2115" s="2" t="s">
        <v>401</v>
      </c>
      <c r="B2115" s="2" t="s">
        <v>1007</v>
      </c>
      <c r="C2115" s="5" t="s">
        <v>3399</v>
      </c>
      <c r="D2115" s="2" t="s">
        <v>3400</v>
      </c>
    </row>
    <row r="2116" spans="1:4" ht="12.95" customHeight="1" x14ac:dyDescent="0.25">
      <c r="A2116" s="2" t="s">
        <v>401</v>
      </c>
      <c r="B2116" s="2" t="s">
        <v>1007</v>
      </c>
      <c r="C2116" s="5" t="s">
        <v>3401</v>
      </c>
      <c r="D2116" s="2" t="s">
        <v>3314</v>
      </c>
    </row>
    <row r="2117" spans="1:4" ht="12.95" customHeight="1" x14ac:dyDescent="0.25">
      <c r="A2117" s="2" t="s">
        <v>401</v>
      </c>
      <c r="B2117" s="2" t="s">
        <v>1007</v>
      </c>
      <c r="C2117" s="5" t="s">
        <v>3402</v>
      </c>
      <c r="D2117" s="2" t="s">
        <v>3403</v>
      </c>
    </row>
    <row r="2118" spans="1:4" ht="12.95" customHeight="1" x14ac:dyDescent="0.25">
      <c r="A2118" s="2" t="s">
        <v>401</v>
      </c>
      <c r="B2118" s="2" t="s">
        <v>1007</v>
      </c>
      <c r="C2118" s="5" t="s">
        <v>3404</v>
      </c>
      <c r="D2118" s="2" t="s">
        <v>3405</v>
      </c>
    </row>
    <row r="2119" spans="1:4" ht="12.95" customHeight="1" x14ac:dyDescent="0.25">
      <c r="A2119" s="2" t="s">
        <v>401</v>
      </c>
      <c r="B2119" s="2" t="s">
        <v>1007</v>
      </c>
      <c r="C2119" s="5" t="s">
        <v>3406</v>
      </c>
      <c r="D2119" s="2" t="s">
        <v>3407</v>
      </c>
    </row>
    <row r="2120" spans="1:4" ht="12.95" customHeight="1" x14ac:dyDescent="0.25">
      <c r="A2120" s="2" t="s">
        <v>401</v>
      </c>
      <c r="B2120" s="2" t="s">
        <v>1007</v>
      </c>
      <c r="C2120" s="5" t="s">
        <v>3408</v>
      </c>
      <c r="D2120" s="2" t="s">
        <v>3409</v>
      </c>
    </row>
    <row r="2121" spans="1:4" ht="12.95" customHeight="1" x14ac:dyDescent="0.25">
      <c r="A2121" s="2" t="s">
        <v>401</v>
      </c>
      <c r="B2121" s="2" t="s">
        <v>1007</v>
      </c>
      <c r="C2121" s="5" t="s">
        <v>3410</v>
      </c>
      <c r="D2121" s="2" t="s">
        <v>3411</v>
      </c>
    </row>
    <row r="2122" spans="1:4" ht="12.95" customHeight="1" x14ac:dyDescent="0.25">
      <c r="A2122" s="2" t="s">
        <v>401</v>
      </c>
      <c r="B2122" s="2" t="s">
        <v>1007</v>
      </c>
      <c r="C2122" s="5" t="s">
        <v>3412</v>
      </c>
      <c r="D2122" s="2" t="s">
        <v>3413</v>
      </c>
    </row>
    <row r="2123" spans="1:4" ht="12.95" customHeight="1" x14ac:dyDescent="0.25">
      <c r="A2123" s="2" t="s">
        <v>401</v>
      </c>
      <c r="B2123" s="2" t="s">
        <v>1007</v>
      </c>
      <c r="C2123" s="5" t="s">
        <v>3414</v>
      </c>
      <c r="D2123" s="2" t="s">
        <v>3396</v>
      </c>
    </row>
    <row r="2124" spans="1:4" ht="12.95" customHeight="1" x14ac:dyDescent="0.25">
      <c r="A2124" s="2" t="s">
        <v>401</v>
      </c>
      <c r="B2124" s="2" t="s">
        <v>1007</v>
      </c>
      <c r="C2124" s="5" t="s">
        <v>3415</v>
      </c>
      <c r="D2124" s="2" t="s">
        <v>3416</v>
      </c>
    </row>
    <row r="2125" spans="1:4" ht="12.95" customHeight="1" x14ac:dyDescent="0.25">
      <c r="A2125" s="2" t="s">
        <v>401</v>
      </c>
      <c r="B2125" s="2" t="s">
        <v>1007</v>
      </c>
      <c r="C2125" s="5" t="s">
        <v>3417</v>
      </c>
      <c r="D2125" s="2" t="s">
        <v>3418</v>
      </c>
    </row>
    <row r="2126" spans="1:4" ht="12.95" customHeight="1" x14ac:dyDescent="0.25">
      <c r="A2126" s="2" t="s">
        <v>401</v>
      </c>
      <c r="B2126" s="2" t="s">
        <v>1007</v>
      </c>
      <c r="C2126" s="5" t="s">
        <v>3419</v>
      </c>
      <c r="D2126" s="2" t="s">
        <v>3420</v>
      </c>
    </row>
    <row r="2127" spans="1:4" ht="12.95" customHeight="1" x14ac:dyDescent="0.25">
      <c r="A2127" s="2" t="s">
        <v>401</v>
      </c>
      <c r="B2127" s="2" t="s">
        <v>1007</v>
      </c>
      <c r="C2127" s="5" t="s">
        <v>3421</v>
      </c>
      <c r="D2127" s="2" t="s">
        <v>3422</v>
      </c>
    </row>
    <row r="2128" spans="1:4" ht="12.95" customHeight="1" x14ac:dyDescent="0.25">
      <c r="A2128" s="2" t="s">
        <v>401</v>
      </c>
      <c r="B2128" s="2" t="s">
        <v>1007</v>
      </c>
      <c r="C2128" s="5" t="s">
        <v>3423</v>
      </c>
      <c r="D2128" s="2" t="s">
        <v>3424</v>
      </c>
    </row>
    <row r="2129" spans="1:4" ht="12.95" customHeight="1" x14ac:dyDescent="0.25">
      <c r="A2129" s="2" t="s">
        <v>401</v>
      </c>
      <c r="B2129" s="2" t="s">
        <v>1007</v>
      </c>
      <c r="C2129" s="5" t="s">
        <v>3425</v>
      </c>
      <c r="D2129" s="2" t="s">
        <v>3426</v>
      </c>
    </row>
    <row r="2130" spans="1:4" ht="12.95" customHeight="1" x14ac:dyDescent="0.25">
      <c r="A2130" s="2" t="s">
        <v>401</v>
      </c>
      <c r="B2130" s="2" t="s">
        <v>1007</v>
      </c>
      <c r="C2130" s="5" t="s">
        <v>3427</v>
      </c>
      <c r="D2130" s="2" t="s">
        <v>3428</v>
      </c>
    </row>
    <row r="2131" spans="1:4" ht="12.95" customHeight="1" x14ac:dyDescent="0.25">
      <c r="A2131" s="2" t="s">
        <v>401</v>
      </c>
      <c r="B2131" s="2" t="s">
        <v>1007</v>
      </c>
      <c r="C2131" s="5" t="s">
        <v>3429</v>
      </c>
      <c r="D2131" s="2" t="s">
        <v>3430</v>
      </c>
    </row>
    <row r="2132" spans="1:4" ht="12.95" customHeight="1" x14ac:dyDescent="0.25">
      <c r="A2132" s="2" t="s">
        <v>401</v>
      </c>
      <c r="B2132" s="2" t="s">
        <v>1007</v>
      </c>
      <c r="C2132" s="5" t="s">
        <v>3431</v>
      </c>
      <c r="D2132" s="2" t="s">
        <v>3432</v>
      </c>
    </row>
    <row r="2133" spans="1:4" ht="12.95" customHeight="1" x14ac:dyDescent="0.25">
      <c r="A2133" s="2" t="s">
        <v>401</v>
      </c>
      <c r="B2133" s="2" t="s">
        <v>1007</v>
      </c>
      <c r="C2133" s="5" t="s">
        <v>3433</v>
      </c>
      <c r="D2133" s="2" t="s">
        <v>3434</v>
      </c>
    </row>
    <row r="2134" spans="1:4" ht="12.95" customHeight="1" x14ac:dyDescent="0.25">
      <c r="A2134" s="2" t="s">
        <v>401</v>
      </c>
      <c r="B2134" s="2" t="s">
        <v>1007</v>
      </c>
      <c r="C2134" s="5" t="s">
        <v>3435</v>
      </c>
      <c r="D2134" s="2" t="s">
        <v>3436</v>
      </c>
    </row>
    <row r="2135" spans="1:4" ht="12.95" customHeight="1" x14ac:dyDescent="0.25">
      <c r="A2135" s="2" t="s">
        <v>401</v>
      </c>
      <c r="B2135" s="2" t="s">
        <v>1007</v>
      </c>
      <c r="C2135" s="5" t="s">
        <v>3437</v>
      </c>
      <c r="D2135" s="2" t="s">
        <v>3438</v>
      </c>
    </row>
    <row r="2136" spans="1:4" ht="12.95" customHeight="1" x14ac:dyDescent="0.25">
      <c r="A2136" s="2" t="s">
        <v>401</v>
      </c>
      <c r="B2136" s="2" t="s">
        <v>1007</v>
      </c>
      <c r="C2136" s="5" t="s">
        <v>3439</v>
      </c>
      <c r="D2136" s="2" t="s">
        <v>3440</v>
      </c>
    </row>
    <row r="2137" spans="1:4" ht="12.95" customHeight="1" x14ac:dyDescent="0.25">
      <c r="A2137" s="2" t="s">
        <v>401</v>
      </c>
      <c r="B2137" s="2" t="s">
        <v>1007</v>
      </c>
      <c r="C2137" s="5" t="s">
        <v>3441</v>
      </c>
      <c r="D2137" s="2" t="s">
        <v>3442</v>
      </c>
    </row>
    <row r="2138" spans="1:4" ht="12.95" customHeight="1" x14ac:dyDescent="0.25">
      <c r="A2138" s="2" t="s">
        <v>401</v>
      </c>
      <c r="B2138" s="2" t="s">
        <v>1007</v>
      </c>
      <c r="C2138" s="5" t="s">
        <v>3443</v>
      </c>
      <c r="D2138" s="2" t="s">
        <v>3444</v>
      </c>
    </row>
    <row r="2139" spans="1:4" ht="12.95" customHeight="1" x14ac:dyDescent="0.25">
      <c r="A2139" s="2" t="s">
        <v>401</v>
      </c>
      <c r="B2139" s="2" t="s">
        <v>1007</v>
      </c>
      <c r="C2139" s="5" t="s">
        <v>3445</v>
      </c>
      <c r="D2139" s="2" t="s">
        <v>3446</v>
      </c>
    </row>
    <row r="2140" spans="1:4" ht="12.95" customHeight="1" x14ac:dyDescent="0.25">
      <c r="A2140" s="2" t="s">
        <v>401</v>
      </c>
      <c r="B2140" s="2" t="s">
        <v>1007</v>
      </c>
      <c r="C2140" s="5" t="s">
        <v>3447</v>
      </c>
      <c r="D2140" s="2" t="s">
        <v>3448</v>
      </c>
    </row>
    <row r="2141" spans="1:4" ht="12.95" customHeight="1" x14ac:dyDescent="0.25">
      <c r="A2141" s="2" t="s">
        <v>401</v>
      </c>
      <c r="B2141" s="2" t="s">
        <v>1007</v>
      </c>
      <c r="C2141" s="5" t="s">
        <v>3449</v>
      </c>
      <c r="D2141" s="2" t="s">
        <v>3450</v>
      </c>
    </row>
    <row r="2142" spans="1:4" ht="12.95" customHeight="1" x14ac:dyDescent="0.25">
      <c r="A2142" s="2" t="s">
        <v>401</v>
      </c>
      <c r="B2142" s="2" t="s">
        <v>1007</v>
      </c>
      <c r="C2142" s="5" t="s">
        <v>3451</v>
      </c>
      <c r="D2142" s="2" t="s">
        <v>3452</v>
      </c>
    </row>
    <row r="2143" spans="1:4" ht="12.95" customHeight="1" x14ac:dyDescent="0.25">
      <c r="A2143" s="2" t="s">
        <v>401</v>
      </c>
      <c r="B2143" s="2" t="s">
        <v>1007</v>
      </c>
      <c r="C2143" s="5" t="s">
        <v>3453</v>
      </c>
      <c r="D2143" s="2" t="s">
        <v>3454</v>
      </c>
    </row>
    <row r="2144" spans="1:4" ht="12.95" customHeight="1" x14ac:dyDescent="0.25">
      <c r="A2144" s="2" t="s">
        <v>401</v>
      </c>
      <c r="B2144" s="2" t="s">
        <v>1007</v>
      </c>
      <c r="C2144" s="5" t="s">
        <v>3455</v>
      </c>
      <c r="D2144" s="2" t="s">
        <v>3456</v>
      </c>
    </row>
    <row r="2145" spans="1:4" ht="12.95" customHeight="1" x14ac:dyDescent="0.25">
      <c r="A2145" s="2" t="s">
        <v>401</v>
      </c>
      <c r="B2145" s="2" t="s">
        <v>1007</v>
      </c>
      <c r="C2145" s="5" t="s">
        <v>3457</v>
      </c>
      <c r="D2145" s="2" t="s">
        <v>3458</v>
      </c>
    </row>
    <row r="2146" spans="1:4" ht="12.95" customHeight="1" x14ac:dyDescent="0.25">
      <c r="A2146" s="2" t="s">
        <v>401</v>
      </c>
      <c r="B2146" s="2" t="s">
        <v>1007</v>
      </c>
      <c r="C2146" s="5" t="s">
        <v>3459</v>
      </c>
      <c r="D2146" s="2" t="s">
        <v>3460</v>
      </c>
    </row>
    <row r="2147" spans="1:4" ht="12.95" customHeight="1" x14ac:dyDescent="0.25">
      <c r="A2147" s="2" t="s">
        <v>401</v>
      </c>
      <c r="B2147" s="2" t="s">
        <v>1007</v>
      </c>
      <c r="C2147" s="5" t="s">
        <v>3461</v>
      </c>
      <c r="D2147" s="2" t="s">
        <v>3370</v>
      </c>
    </row>
    <row r="2148" spans="1:4" ht="12.95" customHeight="1" x14ac:dyDescent="0.25">
      <c r="A2148" s="2" t="s">
        <v>401</v>
      </c>
      <c r="B2148" s="2" t="s">
        <v>1007</v>
      </c>
      <c r="C2148" s="5" t="s">
        <v>3462</v>
      </c>
      <c r="D2148" s="2" t="s">
        <v>3463</v>
      </c>
    </row>
    <row r="2149" spans="1:4" ht="12.95" customHeight="1" x14ac:dyDescent="0.25">
      <c r="A2149" s="2" t="s">
        <v>401</v>
      </c>
      <c r="B2149" s="2" t="s">
        <v>1007</v>
      </c>
      <c r="C2149" s="5" t="s">
        <v>3464</v>
      </c>
      <c r="D2149" s="2" t="s">
        <v>3465</v>
      </c>
    </row>
    <row r="2150" spans="1:4" ht="12.95" customHeight="1" x14ac:dyDescent="0.25">
      <c r="A2150" s="2" t="s">
        <v>401</v>
      </c>
      <c r="B2150" s="2" t="s">
        <v>1007</v>
      </c>
      <c r="C2150" s="5" t="s">
        <v>3466</v>
      </c>
      <c r="D2150" s="2" t="s">
        <v>3467</v>
      </c>
    </row>
    <row r="2151" spans="1:4" ht="12.95" customHeight="1" x14ac:dyDescent="0.25">
      <c r="A2151" s="2" t="s">
        <v>401</v>
      </c>
      <c r="B2151" s="2" t="s">
        <v>1007</v>
      </c>
      <c r="C2151" s="5" t="s">
        <v>3468</v>
      </c>
      <c r="D2151" s="2" t="s">
        <v>3469</v>
      </c>
    </row>
    <row r="2152" spans="1:4" ht="12.95" customHeight="1" x14ac:dyDescent="0.25">
      <c r="A2152" s="2" t="s">
        <v>401</v>
      </c>
      <c r="B2152" s="2" t="s">
        <v>1007</v>
      </c>
      <c r="C2152" s="5" t="s">
        <v>3470</v>
      </c>
      <c r="D2152" s="2" t="s">
        <v>3471</v>
      </c>
    </row>
    <row r="2153" spans="1:4" ht="12.95" customHeight="1" x14ac:dyDescent="0.25">
      <c r="A2153" s="2" t="s">
        <v>401</v>
      </c>
      <c r="B2153" s="2" t="s">
        <v>1007</v>
      </c>
      <c r="C2153" s="5" t="s">
        <v>3472</v>
      </c>
      <c r="D2153" s="2" t="s">
        <v>3392</v>
      </c>
    </row>
    <row r="2154" spans="1:4" ht="12.95" customHeight="1" x14ac:dyDescent="0.25">
      <c r="A2154" s="2" t="s">
        <v>401</v>
      </c>
      <c r="B2154" s="2" t="s">
        <v>1007</v>
      </c>
      <c r="C2154" s="5" t="s">
        <v>3473</v>
      </c>
      <c r="D2154" s="2" t="s">
        <v>3394</v>
      </c>
    </row>
    <row r="2155" spans="1:4" ht="12.95" customHeight="1" x14ac:dyDescent="0.25">
      <c r="A2155" s="2" t="s">
        <v>401</v>
      </c>
      <c r="B2155" s="2" t="s">
        <v>1007</v>
      </c>
      <c r="C2155" s="5" t="s">
        <v>3474</v>
      </c>
      <c r="D2155" s="2" t="s">
        <v>3475</v>
      </c>
    </row>
    <row r="2156" spans="1:4" ht="12.95" customHeight="1" x14ac:dyDescent="0.25">
      <c r="A2156" s="2" t="s">
        <v>401</v>
      </c>
      <c r="B2156" s="2" t="s">
        <v>1007</v>
      </c>
      <c r="C2156" s="5" t="s">
        <v>3476</v>
      </c>
      <c r="D2156" s="2" t="s">
        <v>3477</v>
      </c>
    </row>
    <row r="2157" spans="1:4" ht="12.95" customHeight="1" x14ac:dyDescent="0.25">
      <c r="A2157" s="2" t="s">
        <v>401</v>
      </c>
      <c r="B2157" s="2" t="s">
        <v>1007</v>
      </c>
      <c r="C2157" s="5" t="s">
        <v>3478</v>
      </c>
      <c r="D2157" s="2" t="s">
        <v>3479</v>
      </c>
    </row>
    <row r="2158" spans="1:4" ht="12.95" customHeight="1" x14ac:dyDescent="0.25">
      <c r="A2158" s="2" t="s">
        <v>401</v>
      </c>
      <c r="B2158" s="2" t="s">
        <v>1007</v>
      </c>
      <c r="C2158" s="5" t="s">
        <v>3480</v>
      </c>
      <c r="D2158" s="2" t="s">
        <v>3481</v>
      </c>
    </row>
    <row r="2159" spans="1:4" ht="12.95" customHeight="1" x14ac:dyDescent="0.25">
      <c r="A2159" s="2" t="s">
        <v>401</v>
      </c>
      <c r="B2159" s="2" t="s">
        <v>1007</v>
      </c>
      <c r="C2159" s="5" t="s">
        <v>3482</v>
      </c>
      <c r="D2159" s="2" t="s">
        <v>3483</v>
      </c>
    </row>
    <row r="2160" spans="1:4" ht="12.95" customHeight="1" x14ac:dyDescent="0.25">
      <c r="A2160" s="2" t="s">
        <v>401</v>
      </c>
      <c r="B2160" s="2" t="s">
        <v>1007</v>
      </c>
      <c r="C2160" s="5" t="s">
        <v>3484</v>
      </c>
      <c r="D2160" s="2" t="s">
        <v>3485</v>
      </c>
    </row>
    <row r="2161" spans="1:4" ht="12.95" customHeight="1" x14ac:dyDescent="0.25">
      <c r="A2161" s="2" t="s">
        <v>401</v>
      </c>
      <c r="B2161" s="2" t="s">
        <v>1007</v>
      </c>
      <c r="C2161" s="5" t="s">
        <v>3486</v>
      </c>
      <c r="D2161" s="2" t="s">
        <v>3487</v>
      </c>
    </row>
    <row r="2162" spans="1:4" ht="12.95" customHeight="1" x14ac:dyDescent="0.25">
      <c r="A2162" s="2" t="s">
        <v>401</v>
      </c>
      <c r="B2162" s="2" t="s">
        <v>1007</v>
      </c>
      <c r="C2162" s="5" t="s">
        <v>3488</v>
      </c>
      <c r="D2162" s="2" t="s">
        <v>3489</v>
      </c>
    </row>
    <row r="2163" spans="1:4" ht="12.95" customHeight="1" x14ac:dyDescent="0.25">
      <c r="A2163" s="2" t="s">
        <v>401</v>
      </c>
      <c r="B2163" s="2" t="s">
        <v>1007</v>
      </c>
      <c r="C2163" s="5" t="s">
        <v>3490</v>
      </c>
      <c r="D2163" s="2" t="s">
        <v>3491</v>
      </c>
    </row>
    <row r="2164" spans="1:4" ht="12.95" customHeight="1" x14ac:dyDescent="0.25">
      <c r="A2164" s="2" t="s">
        <v>401</v>
      </c>
      <c r="B2164" s="2" t="s">
        <v>1007</v>
      </c>
      <c r="C2164" s="5" t="s">
        <v>3492</v>
      </c>
      <c r="D2164" s="2" t="s">
        <v>3493</v>
      </c>
    </row>
    <row r="2165" spans="1:4" ht="12.95" customHeight="1" x14ac:dyDescent="0.25">
      <c r="A2165" s="2" t="s">
        <v>401</v>
      </c>
      <c r="B2165" s="2" t="s">
        <v>1007</v>
      </c>
      <c r="C2165" s="5" t="s">
        <v>3494</v>
      </c>
      <c r="D2165" s="2" t="s">
        <v>3495</v>
      </c>
    </row>
    <row r="2166" spans="1:4" ht="12.95" customHeight="1" x14ac:dyDescent="0.25">
      <c r="A2166" s="2" t="s">
        <v>401</v>
      </c>
      <c r="B2166" s="2" t="s">
        <v>1007</v>
      </c>
      <c r="C2166" s="5" t="s">
        <v>3496</v>
      </c>
      <c r="D2166" s="2" t="s">
        <v>3497</v>
      </c>
    </row>
    <row r="2167" spans="1:4" ht="12.95" customHeight="1" x14ac:dyDescent="0.25">
      <c r="A2167" s="2" t="s">
        <v>401</v>
      </c>
      <c r="B2167" s="2" t="s">
        <v>1007</v>
      </c>
      <c r="C2167" s="5" t="s">
        <v>3498</v>
      </c>
      <c r="D2167" s="2" t="s">
        <v>3499</v>
      </c>
    </row>
    <row r="2168" spans="1:4" ht="12.95" customHeight="1" x14ac:dyDescent="0.25">
      <c r="A2168" s="2" t="s">
        <v>401</v>
      </c>
      <c r="B2168" s="2" t="s">
        <v>1007</v>
      </c>
      <c r="C2168" s="5" t="s">
        <v>3500</v>
      </c>
      <c r="D2168" s="2" t="s">
        <v>3501</v>
      </c>
    </row>
    <row r="2169" spans="1:4" ht="12.95" customHeight="1" x14ac:dyDescent="0.25">
      <c r="A2169" s="2" t="s">
        <v>401</v>
      </c>
      <c r="B2169" s="2" t="s">
        <v>1007</v>
      </c>
      <c r="C2169" s="5" t="s">
        <v>3502</v>
      </c>
      <c r="D2169" s="2" t="s">
        <v>3503</v>
      </c>
    </row>
    <row r="2170" spans="1:4" ht="12.95" customHeight="1" x14ac:dyDescent="0.25">
      <c r="A2170" s="2" t="s">
        <v>401</v>
      </c>
      <c r="B2170" s="2" t="s">
        <v>1007</v>
      </c>
      <c r="C2170" s="5" t="s">
        <v>3504</v>
      </c>
      <c r="D2170" s="2" t="s">
        <v>3505</v>
      </c>
    </row>
    <row r="2171" spans="1:4" ht="12.95" customHeight="1" x14ac:dyDescent="0.25">
      <c r="A2171" s="2" t="s">
        <v>401</v>
      </c>
      <c r="B2171" s="2" t="s">
        <v>1007</v>
      </c>
      <c r="C2171" s="5" t="s">
        <v>3506</v>
      </c>
      <c r="D2171" s="2" t="s">
        <v>3507</v>
      </c>
    </row>
    <row r="2172" spans="1:4" ht="12.95" customHeight="1" x14ac:dyDescent="0.25">
      <c r="A2172" s="2" t="s">
        <v>401</v>
      </c>
      <c r="B2172" s="2" t="s">
        <v>1007</v>
      </c>
      <c r="C2172" s="5" t="s">
        <v>3508</v>
      </c>
      <c r="D2172" s="2" t="s">
        <v>3334</v>
      </c>
    </row>
    <row r="2173" spans="1:4" ht="12.95" customHeight="1" x14ac:dyDescent="0.25">
      <c r="A2173" s="2" t="s">
        <v>401</v>
      </c>
      <c r="B2173" s="2" t="s">
        <v>1007</v>
      </c>
      <c r="C2173" s="5" t="s">
        <v>3509</v>
      </c>
      <c r="D2173" s="2" t="s">
        <v>3336</v>
      </c>
    </row>
    <row r="2174" spans="1:4" ht="12.95" customHeight="1" x14ac:dyDescent="0.25">
      <c r="A2174" s="2" t="s">
        <v>401</v>
      </c>
      <c r="B2174" s="2" t="s">
        <v>1007</v>
      </c>
      <c r="C2174" s="5" t="s">
        <v>3510</v>
      </c>
      <c r="D2174" s="2" t="s">
        <v>3511</v>
      </c>
    </row>
    <row r="2175" spans="1:4" ht="12.95" customHeight="1" x14ac:dyDescent="0.25">
      <c r="A2175" s="2" t="s">
        <v>401</v>
      </c>
      <c r="B2175" s="2" t="s">
        <v>1007</v>
      </c>
      <c r="C2175" s="5" t="s">
        <v>3512</v>
      </c>
      <c r="D2175" s="2" t="s">
        <v>3513</v>
      </c>
    </row>
    <row r="2176" spans="1:4" ht="12.95" customHeight="1" x14ac:dyDescent="0.25">
      <c r="A2176" s="2" t="s">
        <v>401</v>
      </c>
      <c r="B2176" s="2" t="s">
        <v>1007</v>
      </c>
      <c r="C2176" s="5" t="s">
        <v>3514</v>
      </c>
      <c r="D2176" s="2" t="s">
        <v>3515</v>
      </c>
    </row>
    <row r="2177" spans="1:4" ht="12.95" customHeight="1" x14ac:dyDescent="0.25">
      <c r="A2177" s="2" t="s">
        <v>401</v>
      </c>
      <c r="B2177" s="2" t="s">
        <v>1007</v>
      </c>
      <c r="C2177" s="5" t="s">
        <v>3516</v>
      </c>
      <c r="D2177" s="2" t="s">
        <v>3517</v>
      </c>
    </row>
    <row r="2178" spans="1:4" ht="12.95" customHeight="1" x14ac:dyDescent="0.25">
      <c r="A2178" s="2" t="s">
        <v>401</v>
      </c>
      <c r="B2178" s="2" t="s">
        <v>1007</v>
      </c>
      <c r="C2178" s="5" t="s">
        <v>3518</v>
      </c>
      <c r="D2178" s="2" t="s">
        <v>3519</v>
      </c>
    </row>
    <row r="2179" spans="1:4" ht="12.95" customHeight="1" x14ac:dyDescent="0.25">
      <c r="A2179" s="2" t="s">
        <v>401</v>
      </c>
      <c r="B2179" s="2" t="s">
        <v>1007</v>
      </c>
      <c r="C2179" s="5" t="s">
        <v>3520</v>
      </c>
      <c r="D2179" s="2" t="s">
        <v>3521</v>
      </c>
    </row>
    <row r="2180" spans="1:4" ht="12.95" customHeight="1" x14ac:dyDescent="0.25">
      <c r="A2180" s="2" t="s">
        <v>401</v>
      </c>
      <c r="B2180" s="2" t="s">
        <v>1007</v>
      </c>
      <c r="C2180" s="5" t="s">
        <v>3522</v>
      </c>
      <c r="D2180" s="2" t="s">
        <v>3523</v>
      </c>
    </row>
    <row r="2181" spans="1:4" ht="12.95" customHeight="1" x14ac:dyDescent="0.25">
      <c r="A2181" s="2" t="s">
        <v>401</v>
      </c>
      <c r="B2181" s="2" t="s">
        <v>1007</v>
      </c>
      <c r="C2181" s="5" t="s">
        <v>3524</v>
      </c>
      <c r="D2181" s="2" t="s">
        <v>3525</v>
      </c>
    </row>
    <row r="2182" spans="1:4" ht="12.95" customHeight="1" x14ac:dyDescent="0.25">
      <c r="A2182" s="2" t="s">
        <v>401</v>
      </c>
      <c r="B2182" s="2" t="s">
        <v>1007</v>
      </c>
      <c r="C2182" s="5" t="s">
        <v>3526</v>
      </c>
      <c r="D2182" s="2" t="s">
        <v>3340</v>
      </c>
    </row>
    <row r="2183" spans="1:4" ht="12.95" customHeight="1" x14ac:dyDescent="0.25">
      <c r="A2183" s="2" t="s">
        <v>401</v>
      </c>
      <c r="B2183" s="2" t="s">
        <v>1007</v>
      </c>
      <c r="C2183" s="5" t="s">
        <v>3527</v>
      </c>
      <c r="D2183" s="2" t="s">
        <v>3528</v>
      </c>
    </row>
    <row r="2184" spans="1:4" ht="12.95" customHeight="1" x14ac:dyDescent="0.25">
      <c r="A2184" s="2" t="s">
        <v>401</v>
      </c>
      <c r="B2184" s="2" t="s">
        <v>1007</v>
      </c>
      <c r="C2184" s="5" t="s">
        <v>3529</v>
      </c>
      <c r="D2184" s="2" t="s">
        <v>3344</v>
      </c>
    </row>
    <row r="2185" spans="1:4" ht="12.95" customHeight="1" x14ac:dyDescent="0.25">
      <c r="A2185" s="2" t="s">
        <v>401</v>
      </c>
      <c r="B2185" s="2" t="s">
        <v>1007</v>
      </c>
      <c r="C2185" s="5" t="s">
        <v>3530</v>
      </c>
      <c r="D2185" s="2" t="s">
        <v>3531</v>
      </c>
    </row>
    <row r="2186" spans="1:4" ht="12.95" customHeight="1" x14ac:dyDescent="0.25">
      <c r="A2186" s="2" t="s">
        <v>401</v>
      </c>
      <c r="B2186" s="2" t="s">
        <v>1007</v>
      </c>
      <c r="C2186" s="5" t="s">
        <v>3532</v>
      </c>
      <c r="D2186" s="2" t="s">
        <v>3533</v>
      </c>
    </row>
    <row r="2187" spans="1:4" ht="12.95" customHeight="1" x14ac:dyDescent="0.25">
      <c r="A2187" s="2" t="s">
        <v>401</v>
      </c>
      <c r="B2187" s="2" t="s">
        <v>1007</v>
      </c>
      <c r="C2187" s="5" t="s">
        <v>3534</v>
      </c>
      <c r="D2187" s="2" t="s">
        <v>3535</v>
      </c>
    </row>
    <row r="2188" spans="1:4" ht="12.95" customHeight="1" x14ac:dyDescent="0.25">
      <c r="A2188" s="2" t="s">
        <v>401</v>
      </c>
      <c r="B2188" s="2" t="s">
        <v>1007</v>
      </c>
      <c r="C2188" s="5" t="s">
        <v>3536</v>
      </c>
      <c r="D2188" s="2" t="s">
        <v>3154</v>
      </c>
    </row>
    <row r="2189" spans="1:4" ht="12.95" customHeight="1" x14ac:dyDescent="0.25">
      <c r="A2189" s="2" t="s">
        <v>401</v>
      </c>
      <c r="B2189" s="2" t="s">
        <v>1007</v>
      </c>
      <c r="C2189" s="5" t="s">
        <v>3537</v>
      </c>
      <c r="D2189" s="2" t="s">
        <v>3280</v>
      </c>
    </row>
    <row r="2190" spans="1:4" ht="12.95" customHeight="1" x14ac:dyDescent="0.25">
      <c r="A2190" s="2" t="s">
        <v>401</v>
      </c>
      <c r="B2190" s="2" t="s">
        <v>1007</v>
      </c>
      <c r="C2190" s="5" t="s">
        <v>3538</v>
      </c>
      <c r="D2190" s="2" t="s">
        <v>3282</v>
      </c>
    </row>
    <row r="2191" spans="1:4" ht="12.95" customHeight="1" x14ac:dyDescent="0.25">
      <c r="A2191" s="2" t="s">
        <v>401</v>
      </c>
      <c r="B2191" s="2" t="s">
        <v>1007</v>
      </c>
      <c r="C2191" s="5" t="s">
        <v>3539</v>
      </c>
      <c r="D2191" s="2" t="s">
        <v>3540</v>
      </c>
    </row>
    <row r="2192" spans="1:4" ht="12.95" customHeight="1" x14ac:dyDescent="0.25">
      <c r="A2192" s="2" t="s">
        <v>401</v>
      </c>
      <c r="B2192" s="2" t="s">
        <v>1007</v>
      </c>
      <c r="C2192" s="5" t="s">
        <v>3541</v>
      </c>
      <c r="D2192" s="2" t="s">
        <v>3542</v>
      </c>
    </row>
    <row r="2193" spans="1:4" ht="12.95" customHeight="1" x14ac:dyDescent="0.25">
      <c r="A2193" s="2" t="s">
        <v>401</v>
      </c>
      <c r="B2193" s="2" t="s">
        <v>1007</v>
      </c>
      <c r="C2193" s="5" t="s">
        <v>3543</v>
      </c>
      <c r="D2193" s="2" t="s">
        <v>3544</v>
      </c>
    </row>
    <row r="2194" spans="1:4" ht="12.95" customHeight="1" x14ac:dyDescent="0.25">
      <c r="A2194" s="2" t="s">
        <v>401</v>
      </c>
      <c r="B2194" s="2" t="s">
        <v>1007</v>
      </c>
      <c r="C2194" s="5" t="s">
        <v>3545</v>
      </c>
      <c r="D2194" s="2" t="s">
        <v>3546</v>
      </c>
    </row>
    <row r="2195" spans="1:4" ht="12.95" customHeight="1" x14ac:dyDescent="0.25">
      <c r="A2195" s="2" t="s">
        <v>401</v>
      </c>
      <c r="B2195" s="2" t="s">
        <v>1007</v>
      </c>
      <c r="C2195" s="5" t="s">
        <v>3547</v>
      </c>
      <c r="D2195" s="2" t="s">
        <v>3548</v>
      </c>
    </row>
    <row r="2196" spans="1:4" ht="12.95" customHeight="1" x14ac:dyDescent="0.25">
      <c r="A2196" s="2" t="s">
        <v>401</v>
      </c>
      <c r="B2196" s="2" t="s">
        <v>1007</v>
      </c>
      <c r="C2196" s="5" t="s">
        <v>3549</v>
      </c>
      <c r="D2196" s="2" t="s">
        <v>3550</v>
      </c>
    </row>
    <row r="2197" spans="1:4" ht="12.95" customHeight="1" x14ac:dyDescent="0.25">
      <c r="A2197" s="2" t="s">
        <v>401</v>
      </c>
      <c r="B2197" s="2" t="s">
        <v>1007</v>
      </c>
      <c r="C2197" s="5" t="s">
        <v>3551</v>
      </c>
      <c r="D2197" s="2" t="s">
        <v>3552</v>
      </c>
    </row>
    <row r="2198" spans="1:4" ht="12.95" customHeight="1" x14ac:dyDescent="0.25">
      <c r="A2198" s="2" t="s">
        <v>401</v>
      </c>
      <c r="B2198" s="2" t="s">
        <v>1007</v>
      </c>
      <c r="C2198" s="5" t="s">
        <v>3553</v>
      </c>
      <c r="D2198" s="2" t="s">
        <v>3554</v>
      </c>
    </row>
    <row r="2199" spans="1:4" ht="12.95" customHeight="1" x14ac:dyDescent="0.25">
      <c r="A2199" s="2" t="s">
        <v>401</v>
      </c>
      <c r="B2199" s="2" t="s">
        <v>1007</v>
      </c>
      <c r="C2199" s="5" t="s">
        <v>3555</v>
      </c>
      <c r="D2199" s="2" t="s">
        <v>3556</v>
      </c>
    </row>
    <row r="2200" spans="1:4" ht="12.95" customHeight="1" x14ac:dyDescent="0.25">
      <c r="A2200" s="2" t="s">
        <v>401</v>
      </c>
      <c r="B2200" s="2" t="s">
        <v>1007</v>
      </c>
      <c r="C2200" s="5" t="s">
        <v>3557</v>
      </c>
      <c r="D2200" s="2" t="s">
        <v>3558</v>
      </c>
    </row>
    <row r="2201" spans="1:4" ht="12.95" customHeight="1" x14ac:dyDescent="0.25">
      <c r="A2201" s="2" t="s">
        <v>401</v>
      </c>
      <c r="B2201" s="2" t="s">
        <v>1007</v>
      </c>
      <c r="C2201" s="5" t="s">
        <v>3559</v>
      </c>
      <c r="D2201" s="2" t="s">
        <v>3560</v>
      </c>
    </row>
    <row r="2202" spans="1:4" ht="12.95" customHeight="1" x14ac:dyDescent="0.25">
      <c r="A2202" s="2" t="s">
        <v>401</v>
      </c>
      <c r="B2202" s="2" t="s">
        <v>1007</v>
      </c>
      <c r="C2202" s="5" t="s">
        <v>3561</v>
      </c>
      <c r="D2202" s="2" t="s">
        <v>3562</v>
      </c>
    </row>
    <row r="2203" spans="1:4" ht="12.95" customHeight="1" x14ac:dyDescent="0.25">
      <c r="A2203" s="2" t="s">
        <v>401</v>
      </c>
      <c r="B2203" s="2" t="s">
        <v>1007</v>
      </c>
      <c r="C2203" s="5" t="s">
        <v>3563</v>
      </c>
      <c r="D2203" s="2" t="s">
        <v>3442</v>
      </c>
    </row>
    <row r="2204" spans="1:4" ht="12.95" customHeight="1" x14ac:dyDescent="0.25">
      <c r="A2204" s="2" t="s">
        <v>401</v>
      </c>
      <c r="B2204" s="2" t="s">
        <v>1007</v>
      </c>
      <c r="C2204" s="5" t="s">
        <v>3564</v>
      </c>
      <c r="D2204" s="2" t="s">
        <v>3565</v>
      </c>
    </row>
    <row r="2205" spans="1:4" ht="12.95" customHeight="1" x14ac:dyDescent="0.25">
      <c r="A2205" s="2" t="s">
        <v>401</v>
      </c>
      <c r="B2205" s="2" t="s">
        <v>1007</v>
      </c>
      <c r="C2205" s="5" t="s">
        <v>3566</v>
      </c>
      <c r="D2205" s="2" t="s">
        <v>3567</v>
      </c>
    </row>
    <row r="2206" spans="1:4" ht="12.95" customHeight="1" x14ac:dyDescent="0.25">
      <c r="A2206" s="2" t="s">
        <v>401</v>
      </c>
      <c r="B2206" s="2" t="s">
        <v>1007</v>
      </c>
      <c r="C2206" s="5" t="s">
        <v>3568</v>
      </c>
      <c r="D2206" s="2" t="s">
        <v>3569</v>
      </c>
    </row>
    <row r="2207" spans="1:4" ht="12.95" customHeight="1" x14ac:dyDescent="0.25">
      <c r="A2207" s="2" t="s">
        <v>401</v>
      </c>
      <c r="B2207" s="2" t="s">
        <v>1007</v>
      </c>
      <c r="C2207" s="5" t="s">
        <v>3570</v>
      </c>
      <c r="D2207" s="2" t="s">
        <v>3571</v>
      </c>
    </row>
    <row r="2208" spans="1:4" ht="12.95" customHeight="1" x14ac:dyDescent="0.25">
      <c r="A2208" s="2" t="s">
        <v>401</v>
      </c>
      <c r="B2208" s="2" t="s">
        <v>1007</v>
      </c>
      <c r="C2208" s="5" t="s">
        <v>3572</v>
      </c>
      <c r="D2208" s="2" t="s">
        <v>3370</v>
      </c>
    </row>
    <row r="2209" spans="1:4" ht="12.95" customHeight="1" x14ac:dyDescent="0.25">
      <c r="A2209" s="2" t="s">
        <v>401</v>
      </c>
      <c r="B2209" s="2" t="s">
        <v>1007</v>
      </c>
      <c r="C2209" s="5" t="s">
        <v>3573</v>
      </c>
      <c r="D2209" s="2" t="s">
        <v>3358</v>
      </c>
    </row>
    <row r="2210" spans="1:4" ht="12.95" customHeight="1" x14ac:dyDescent="0.25">
      <c r="A2210" s="2" t="s">
        <v>401</v>
      </c>
      <c r="B2210" s="2" t="s">
        <v>1007</v>
      </c>
      <c r="C2210" s="5" t="s">
        <v>3574</v>
      </c>
      <c r="D2210" s="2" t="s">
        <v>3575</v>
      </c>
    </row>
    <row r="2211" spans="1:4" ht="12.95" customHeight="1" x14ac:dyDescent="0.25">
      <c r="A2211" s="2" t="s">
        <v>401</v>
      </c>
      <c r="B2211" s="2" t="s">
        <v>1007</v>
      </c>
      <c r="C2211" s="5" t="s">
        <v>3576</v>
      </c>
      <c r="D2211" s="2" t="s">
        <v>3577</v>
      </c>
    </row>
    <row r="2212" spans="1:4" ht="12.95" customHeight="1" x14ac:dyDescent="0.25">
      <c r="A2212" s="2" t="s">
        <v>401</v>
      </c>
      <c r="B2212" s="2" t="s">
        <v>1007</v>
      </c>
      <c r="C2212" s="5" t="s">
        <v>3578</v>
      </c>
      <c r="D2212" s="2" t="s">
        <v>3280</v>
      </c>
    </row>
    <row r="2213" spans="1:4" ht="12.95" customHeight="1" x14ac:dyDescent="0.25">
      <c r="A2213" s="2" t="s">
        <v>401</v>
      </c>
      <c r="B2213" s="2" t="s">
        <v>1007</v>
      </c>
      <c r="C2213" s="5" t="s">
        <v>3579</v>
      </c>
      <c r="D2213" s="2" t="s">
        <v>3394</v>
      </c>
    </row>
    <row r="2214" spans="1:4" ht="12.95" customHeight="1" x14ac:dyDescent="0.25">
      <c r="A2214" s="2" t="s">
        <v>401</v>
      </c>
      <c r="B2214" s="2" t="s">
        <v>1007</v>
      </c>
      <c r="C2214" s="5" t="s">
        <v>3580</v>
      </c>
      <c r="D2214" s="2" t="s">
        <v>3581</v>
      </c>
    </row>
    <row r="2215" spans="1:4" ht="12.95" customHeight="1" x14ac:dyDescent="0.25">
      <c r="A2215" s="2" t="s">
        <v>401</v>
      </c>
      <c r="B2215" s="2" t="s">
        <v>1007</v>
      </c>
      <c r="C2215" s="5" t="s">
        <v>3582</v>
      </c>
      <c r="D2215" s="2" t="s">
        <v>3485</v>
      </c>
    </row>
    <row r="2216" spans="1:4" ht="12.95" customHeight="1" x14ac:dyDescent="0.25">
      <c r="A2216" s="2" t="s">
        <v>401</v>
      </c>
      <c r="B2216" s="2" t="s">
        <v>1007</v>
      </c>
      <c r="C2216" s="5" t="s">
        <v>3583</v>
      </c>
      <c r="D2216" s="2" t="s">
        <v>3584</v>
      </c>
    </row>
    <row r="2217" spans="1:4" ht="12.95" customHeight="1" x14ac:dyDescent="0.25">
      <c r="A2217" s="2" t="s">
        <v>401</v>
      </c>
      <c r="B2217" s="2" t="s">
        <v>1007</v>
      </c>
      <c r="C2217" s="5" t="s">
        <v>3585</v>
      </c>
      <c r="D2217" s="2" t="s">
        <v>3586</v>
      </c>
    </row>
    <row r="2218" spans="1:4" ht="12.95" customHeight="1" x14ac:dyDescent="0.25">
      <c r="A2218" s="2" t="s">
        <v>401</v>
      </c>
      <c r="B2218" s="2" t="s">
        <v>1007</v>
      </c>
      <c r="C2218" s="5" t="s">
        <v>3587</v>
      </c>
      <c r="D2218" s="2" t="s">
        <v>3588</v>
      </c>
    </row>
    <row r="2219" spans="1:4" ht="12.95" customHeight="1" x14ac:dyDescent="0.25">
      <c r="A2219" s="2" t="s">
        <v>401</v>
      </c>
      <c r="B2219" s="2" t="s">
        <v>1007</v>
      </c>
      <c r="C2219" s="5" t="s">
        <v>3589</v>
      </c>
      <c r="D2219" s="2" t="s">
        <v>3312</v>
      </c>
    </row>
    <row r="2220" spans="1:4" ht="12.95" customHeight="1" x14ac:dyDescent="0.25">
      <c r="A2220" s="2" t="s">
        <v>401</v>
      </c>
      <c r="B2220" s="2" t="s">
        <v>1007</v>
      </c>
      <c r="C2220" s="5" t="s">
        <v>3590</v>
      </c>
      <c r="D2220" s="2" t="s">
        <v>3314</v>
      </c>
    </row>
    <row r="2221" spans="1:4" ht="12.95" customHeight="1" x14ac:dyDescent="0.25">
      <c r="A2221" s="2" t="s">
        <v>401</v>
      </c>
      <c r="B2221" s="2" t="s">
        <v>1007</v>
      </c>
      <c r="C2221" s="5" t="s">
        <v>3591</v>
      </c>
      <c r="D2221" s="2" t="s">
        <v>3533</v>
      </c>
    </row>
    <row r="2222" spans="1:4" ht="12.95" customHeight="1" x14ac:dyDescent="0.25">
      <c r="A2222" s="2" t="s">
        <v>401</v>
      </c>
      <c r="B2222" s="2" t="s">
        <v>1007</v>
      </c>
      <c r="C2222" s="5" t="s">
        <v>3592</v>
      </c>
      <c r="D2222" s="2" t="s">
        <v>3593</v>
      </c>
    </row>
    <row r="2223" spans="1:4" ht="12.95" customHeight="1" x14ac:dyDescent="0.25">
      <c r="A2223" s="2" t="s">
        <v>401</v>
      </c>
      <c r="B2223" s="2" t="s">
        <v>1007</v>
      </c>
      <c r="C2223" s="5" t="s">
        <v>3594</v>
      </c>
      <c r="D2223" s="2" t="s">
        <v>3595</v>
      </c>
    </row>
    <row r="2224" spans="1:4" ht="12.95" customHeight="1" x14ac:dyDescent="0.25">
      <c r="A2224" s="2" t="s">
        <v>401</v>
      </c>
      <c r="B2224" s="2" t="s">
        <v>1007</v>
      </c>
      <c r="C2224" s="5" t="s">
        <v>3596</v>
      </c>
      <c r="D2224" s="2" t="s">
        <v>3597</v>
      </c>
    </row>
    <row r="2225" spans="1:4" ht="12.95" customHeight="1" x14ac:dyDescent="0.25">
      <c r="A2225" s="2" t="s">
        <v>401</v>
      </c>
      <c r="B2225" s="2" t="s">
        <v>1007</v>
      </c>
      <c r="C2225" s="5" t="s">
        <v>3598</v>
      </c>
      <c r="D2225" s="2" t="s">
        <v>3599</v>
      </c>
    </row>
    <row r="2226" spans="1:4" ht="12.95" customHeight="1" x14ac:dyDescent="0.25">
      <c r="A2226" s="2" t="s">
        <v>401</v>
      </c>
      <c r="B2226" s="2" t="s">
        <v>1007</v>
      </c>
      <c r="C2226" s="5" t="s">
        <v>3600</v>
      </c>
      <c r="D2226" s="2" t="s">
        <v>3601</v>
      </c>
    </row>
    <row r="2227" spans="1:4" ht="12.95" customHeight="1" x14ac:dyDescent="0.25">
      <c r="A2227" s="2" t="s">
        <v>401</v>
      </c>
      <c r="B2227" s="2" t="s">
        <v>1007</v>
      </c>
      <c r="C2227" s="5" t="s">
        <v>3602</v>
      </c>
      <c r="D2227" s="2" t="s">
        <v>3603</v>
      </c>
    </row>
    <row r="2228" spans="1:4" ht="12.95" customHeight="1" x14ac:dyDescent="0.25">
      <c r="A2228" s="2" t="s">
        <v>401</v>
      </c>
      <c r="B2228" s="2" t="s">
        <v>1007</v>
      </c>
      <c r="C2228" s="5" t="s">
        <v>3604</v>
      </c>
      <c r="D2228" s="2" t="s">
        <v>3605</v>
      </c>
    </row>
    <row r="2229" spans="1:4" ht="12.95" customHeight="1" x14ac:dyDescent="0.25">
      <c r="A2229" s="2" t="s">
        <v>401</v>
      </c>
      <c r="B2229" s="2" t="s">
        <v>1007</v>
      </c>
      <c r="C2229" s="5" t="s">
        <v>3606</v>
      </c>
      <c r="D2229" s="2" t="s">
        <v>3280</v>
      </c>
    </row>
    <row r="2230" spans="1:4" ht="12.95" customHeight="1" x14ac:dyDescent="0.25">
      <c r="A2230" s="2" t="s">
        <v>401</v>
      </c>
      <c r="B2230" s="2" t="s">
        <v>1007</v>
      </c>
      <c r="C2230" s="5" t="s">
        <v>3607</v>
      </c>
      <c r="D2230" s="2" t="s">
        <v>3282</v>
      </c>
    </row>
    <row r="2231" spans="1:4" ht="12.95" customHeight="1" x14ac:dyDescent="0.25">
      <c r="A2231" s="2" t="s">
        <v>401</v>
      </c>
      <c r="B2231" s="2" t="s">
        <v>1007</v>
      </c>
      <c r="C2231" s="5" t="s">
        <v>3608</v>
      </c>
      <c r="D2231" s="2" t="s">
        <v>3609</v>
      </c>
    </row>
    <row r="2232" spans="1:4" ht="12.95" customHeight="1" x14ac:dyDescent="0.25">
      <c r="A2232" s="2" t="s">
        <v>401</v>
      </c>
      <c r="B2232" s="2" t="s">
        <v>1007</v>
      </c>
      <c r="C2232" s="5" t="s">
        <v>3610</v>
      </c>
      <c r="D2232" s="2" t="s">
        <v>3611</v>
      </c>
    </row>
    <row r="2233" spans="1:4" ht="12.95" customHeight="1" x14ac:dyDescent="0.25">
      <c r="A2233" s="2" t="s">
        <v>401</v>
      </c>
      <c r="B2233" s="2" t="s">
        <v>1007</v>
      </c>
      <c r="C2233" s="5" t="s">
        <v>3612</v>
      </c>
      <c r="D2233" s="2" t="s">
        <v>3613</v>
      </c>
    </row>
    <row r="2234" spans="1:4" ht="12.95" customHeight="1" x14ac:dyDescent="0.25">
      <c r="A2234" s="2" t="s">
        <v>401</v>
      </c>
      <c r="B2234" s="2" t="s">
        <v>1007</v>
      </c>
      <c r="C2234" s="5" t="s">
        <v>3614</v>
      </c>
      <c r="D2234" s="2" t="s">
        <v>3615</v>
      </c>
    </row>
    <row r="2235" spans="1:4" ht="12.95" customHeight="1" x14ac:dyDescent="0.25">
      <c r="A2235" s="2" t="s">
        <v>401</v>
      </c>
      <c r="B2235" s="2" t="s">
        <v>1007</v>
      </c>
      <c r="C2235" s="5" t="s">
        <v>3616</v>
      </c>
      <c r="D2235" s="2" t="s">
        <v>3617</v>
      </c>
    </row>
    <row r="2236" spans="1:4" ht="12.95" customHeight="1" x14ac:dyDescent="0.25">
      <c r="A2236" s="2" t="s">
        <v>401</v>
      </c>
      <c r="B2236" s="2" t="s">
        <v>1007</v>
      </c>
      <c r="C2236" s="5" t="s">
        <v>3618</v>
      </c>
      <c r="D2236" s="2" t="s">
        <v>3619</v>
      </c>
    </row>
    <row r="2237" spans="1:4" ht="12.95" customHeight="1" x14ac:dyDescent="0.25">
      <c r="A2237" s="2" t="s">
        <v>401</v>
      </c>
      <c r="B2237" s="2" t="s">
        <v>1007</v>
      </c>
      <c r="C2237" s="5" t="s">
        <v>3620</v>
      </c>
      <c r="D2237" s="2" t="s">
        <v>3621</v>
      </c>
    </row>
    <row r="2238" spans="1:4" ht="12.95" customHeight="1" x14ac:dyDescent="0.25">
      <c r="A2238" s="2" t="s">
        <v>401</v>
      </c>
      <c r="B2238" s="2" t="s">
        <v>1007</v>
      </c>
      <c r="C2238" s="5" t="s">
        <v>3622</v>
      </c>
      <c r="D2238" s="2" t="s">
        <v>3623</v>
      </c>
    </row>
    <row r="2239" spans="1:4" ht="12.95" customHeight="1" x14ac:dyDescent="0.25">
      <c r="A2239" s="2" t="s">
        <v>401</v>
      </c>
      <c r="B2239" s="2" t="s">
        <v>1007</v>
      </c>
      <c r="C2239" s="5" t="s">
        <v>3624</v>
      </c>
      <c r="D2239" s="2" t="s">
        <v>3625</v>
      </c>
    </row>
    <row r="2240" spans="1:4" ht="12.95" customHeight="1" x14ac:dyDescent="0.25">
      <c r="A2240" s="2" t="s">
        <v>401</v>
      </c>
      <c r="B2240" s="2" t="s">
        <v>1007</v>
      </c>
      <c r="C2240" s="5" t="s">
        <v>3626</v>
      </c>
      <c r="D2240" s="2" t="s">
        <v>3627</v>
      </c>
    </row>
    <row r="2241" spans="1:4" ht="12.95" customHeight="1" x14ac:dyDescent="0.25">
      <c r="A2241" s="2" t="s">
        <v>401</v>
      </c>
      <c r="B2241" s="2" t="s">
        <v>1007</v>
      </c>
      <c r="C2241" s="5" t="s">
        <v>3628</v>
      </c>
      <c r="D2241" s="2" t="s">
        <v>3629</v>
      </c>
    </row>
    <row r="2242" spans="1:4" ht="12.95" customHeight="1" x14ac:dyDescent="0.25">
      <c r="A2242" s="2" t="s">
        <v>401</v>
      </c>
      <c r="B2242" s="2" t="s">
        <v>1007</v>
      </c>
      <c r="C2242" s="5" t="s">
        <v>3630</v>
      </c>
      <c r="D2242" s="2" t="s">
        <v>3631</v>
      </c>
    </row>
    <row r="2243" spans="1:4" ht="12.95" customHeight="1" x14ac:dyDescent="0.25">
      <c r="A2243" s="2" t="s">
        <v>401</v>
      </c>
      <c r="B2243" s="2" t="s">
        <v>1007</v>
      </c>
      <c r="C2243" s="5" t="s">
        <v>3632</v>
      </c>
      <c r="D2243" s="2" t="s">
        <v>3633</v>
      </c>
    </row>
    <row r="2244" spans="1:4" ht="12.95" customHeight="1" x14ac:dyDescent="0.25">
      <c r="A2244" s="2" t="s">
        <v>401</v>
      </c>
      <c r="B2244" s="2" t="s">
        <v>1007</v>
      </c>
      <c r="C2244" s="5" t="s">
        <v>3634</v>
      </c>
      <c r="D2244" s="2" t="s">
        <v>3635</v>
      </c>
    </row>
    <row r="2245" spans="1:4" ht="12.95" customHeight="1" x14ac:dyDescent="0.25">
      <c r="A2245" s="2" t="s">
        <v>401</v>
      </c>
      <c r="B2245" s="2" t="s">
        <v>1007</v>
      </c>
      <c r="C2245" s="5" t="s">
        <v>3636</v>
      </c>
      <c r="D2245" s="2" t="s">
        <v>3637</v>
      </c>
    </row>
    <row r="2246" spans="1:4" ht="12.95" customHeight="1" x14ac:dyDescent="0.25">
      <c r="A2246" s="2" t="s">
        <v>401</v>
      </c>
      <c r="B2246" s="2" t="s">
        <v>1007</v>
      </c>
      <c r="C2246" s="5" t="s">
        <v>3638</v>
      </c>
      <c r="D2246" s="2" t="s">
        <v>3639</v>
      </c>
    </row>
    <row r="2247" spans="1:4" ht="12.95" customHeight="1" x14ac:dyDescent="0.25">
      <c r="A2247" s="2" t="s">
        <v>401</v>
      </c>
      <c r="B2247" s="2" t="s">
        <v>1007</v>
      </c>
      <c r="C2247" s="5" t="s">
        <v>3640</v>
      </c>
      <c r="D2247" s="2" t="s">
        <v>3641</v>
      </c>
    </row>
    <row r="2248" spans="1:4" ht="12.95" customHeight="1" x14ac:dyDescent="0.25">
      <c r="A2248" s="2" t="s">
        <v>401</v>
      </c>
      <c r="B2248" s="2" t="s">
        <v>1007</v>
      </c>
      <c r="C2248" s="5" t="s">
        <v>3642</v>
      </c>
      <c r="D2248" s="2" t="s">
        <v>3643</v>
      </c>
    </row>
    <row r="2249" spans="1:4" ht="12.95" customHeight="1" x14ac:dyDescent="0.25">
      <c r="A2249" s="2" t="s">
        <v>401</v>
      </c>
      <c r="B2249" s="2" t="s">
        <v>1007</v>
      </c>
      <c r="C2249" s="5" t="s">
        <v>3644</v>
      </c>
      <c r="D2249" s="2" t="s">
        <v>3645</v>
      </c>
    </row>
    <row r="2250" spans="1:4" ht="12.95" customHeight="1" x14ac:dyDescent="0.25">
      <c r="A2250" s="2" t="s">
        <v>401</v>
      </c>
      <c r="B2250" s="2" t="s">
        <v>1007</v>
      </c>
      <c r="C2250" s="5" t="s">
        <v>3646</v>
      </c>
      <c r="D2250" s="2" t="s">
        <v>3647</v>
      </c>
    </row>
    <row r="2251" spans="1:4" ht="12.95" customHeight="1" x14ac:dyDescent="0.25">
      <c r="A2251" s="2" t="s">
        <v>401</v>
      </c>
      <c r="B2251" s="2" t="s">
        <v>1007</v>
      </c>
      <c r="C2251" s="5" t="s">
        <v>3648</v>
      </c>
      <c r="D2251" s="2" t="s">
        <v>3649</v>
      </c>
    </row>
    <row r="2252" spans="1:4" ht="12.95" customHeight="1" x14ac:dyDescent="0.25">
      <c r="A2252" s="2" t="s">
        <v>401</v>
      </c>
      <c r="B2252" s="2" t="s">
        <v>1007</v>
      </c>
      <c r="C2252" s="5" t="s">
        <v>3650</v>
      </c>
      <c r="D2252" s="2" t="s">
        <v>3651</v>
      </c>
    </row>
    <row r="2253" spans="1:4" ht="12.95" customHeight="1" x14ac:dyDescent="0.25">
      <c r="A2253" s="2" t="s">
        <v>401</v>
      </c>
      <c r="B2253" s="2" t="s">
        <v>1007</v>
      </c>
      <c r="C2253" s="5" t="s">
        <v>3652</v>
      </c>
      <c r="D2253" s="2" t="s">
        <v>103</v>
      </c>
    </row>
    <row r="2254" spans="1:4" ht="12.95" customHeight="1" x14ac:dyDescent="0.25">
      <c r="A2254" s="2" t="s">
        <v>401</v>
      </c>
      <c r="B2254" s="2" t="s">
        <v>1007</v>
      </c>
      <c r="C2254" s="5" t="s">
        <v>3653</v>
      </c>
      <c r="D2254" s="2" t="s">
        <v>3654</v>
      </c>
    </row>
    <row r="2255" spans="1:4" ht="12.95" customHeight="1" x14ac:dyDescent="0.25">
      <c r="A2255" s="2" t="s">
        <v>401</v>
      </c>
      <c r="B2255" s="2" t="s">
        <v>1007</v>
      </c>
      <c r="C2255" s="5" t="s">
        <v>3655</v>
      </c>
      <c r="D2255" s="2" t="s">
        <v>3656</v>
      </c>
    </row>
    <row r="2256" spans="1:4" ht="12.95" customHeight="1" x14ac:dyDescent="0.25">
      <c r="A2256" s="2" t="s">
        <v>401</v>
      </c>
      <c r="B2256" s="2" t="s">
        <v>1007</v>
      </c>
      <c r="C2256" s="5" t="s">
        <v>3657</v>
      </c>
      <c r="D2256" s="2" t="s">
        <v>3658</v>
      </c>
    </row>
    <row r="2257" spans="1:4" ht="12.95" customHeight="1" x14ac:dyDescent="0.25">
      <c r="A2257" s="2" t="s">
        <v>401</v>
      </c>
      <c r="B2257" s="2" t="s">
        <v>1007</v>
      </c>
      <c r="C2257" s="5" t="s">
        <v>3659</v>
      </c>
      <c r="D2257" s="2" t="s">
        <v>3660</v>
      </c>
    </row>
    <row r="2258" spans="1:4" ht="12.95" customHeight="1" x14ac:dyDescent="0.25">
      <c r="A2258" s="2" t="s">
        <v>401</v>
      </c>
      <c r="B2258" s="2" t="s">
        <v>1007</v>
      </c>
      <c r="C2258" s="5" t="s">
        <v>3661</v>
      </c>
      <c r="D2258" s="2" t="s">
        <v>3358</v>
      </c>
    </row>
    <row r="2259" spans="1:4" ht="12.95" customHeight="1" x14ac:dyDescent="0.25">
      <c r="A2259" s="2" t="s">
        <v>401</v>
      </c>
      <c r="B2259" s="2" t="s">
        <v>1007</v>
      </c>
      <c r="C2259" s="5" t="s">
        <v>3662</v>
      </c>
      <c r="D2259" s="2" t="s">
        <v>3663</v>
      </c>
    </row>
    <row r="2260" spans="1:4" ht="12.95" customHeight="1" x14ac:dyDescent="0.25">
      <c r="A2260" s="2" t="s">
        <v>401</v>
      </c>
      <c r="B2260" s="2" t="s">
        <v>1007</v>
      </c>
      <c r="C2260" s="5" t="s">
        <v>3664</v>
      </c>
      <c r="D2260" s="2" t="s">
        <v>3665</v>
      </c>
    </row>
    <row r="2261" spans="1:4" ht="12.95" customHeight="1" x14ac:dyDescent="0.25">
      <c r="A2261" s="2" t="s">
        <v>401</v>
      </c>
      <c r="B2261" s="2" t="s">
        <v>1007</v>
      </c>
      <c r="C2261" s="5" t="s">
        <v>3666</v>
      </c>
      <c r="D2261" s="2" t="s">
        <v>3667</v>
      </c>
    </row>
    <row r="2262" spans="1:4" ht="12.95" customHeight="1" x14ac:dyDescent="0.25">
      <c r="A2262" s="2" t="s">
        <v>401</v>
      </c>
      <c r="B2262" s="2" t="s">
        <v>1007</v>
      </c>
      <c r="C2262" s="5" t="s">
        <v>3668</v>
      </c>
      <c r="D2262" s="2" t="s">
        <v>3669</v>
      </c>
    </row>
    <row r="2263" spans="1:4" ht="12.95" customHeight="1" x14ac:dyDescent="0.25">
      <c r="A2263" s="2" t="s">
        <v>401</v>
      </c>
      <c r="B2263" s="2" t="s">
        <v>1007</v>
      </c>
      <c r="C2263" s="5" t="s">
        <v>3670</v>
      </c>
      <c r="D2263" s="2" t="s">
        <v>3671</v>
      </c>
    </row>
    <row r="2264" spans="1:4" ht="12.95" customHeight="1" x14ac:dyDescent="0.25">
      <c r="A2264" s="2" t="s">
        <v>401</v>
      </c>
      <c r="B2264" s="2" t="s">
        <v>1007</v>
      </c>
      <c r="C2264" s="5" t="s">
        <v>3672</v>
      </c>
      <c r="D2264" s="2" t="s">
        <v>3394</v>
      </c>
    </row>
    <row r="2265" spans="1:4" ht="12.95" customHeight="1" x14ac:dyDescent="0.25">
      <c r="A2265" s="2" t="s">
        <v>401</v>
      </c>
      <c r="B2265" s="2" t="s">
        <v>1007</v>
      </c>
      <c r="C2265" s="5" t="s">
        <v>3673</v>
      </c>
      <c r="D2265" s="2" t="s">
        <v>3674</v>
      </c>
    </row>
    <row r="2266" spans="1:4" ht="12.95" customHeight="1" x14ac:dyDescent="0.25">
      <c r="A2266" s="2" t="s">
        <v>401</v>
      </c>
      <c r="B2266" s="2" t="s">
        <v>1007</v>
      </c>
      <c r="C2266" s="5" t="s">
        <v>3675</v>
      </c>
      <c r="D2266" s="2" t="s">
        <v>3676</v>
      </c>
    </row>
    <row r="2267" spans="1:4" ht="12.95" customHeight="1" x14ac:dyDescent="0.25">
      <c r="A2267" s="2" t="s">
        <v>401</v>
      </c>
      <c r="B2267" s="2" t="s">
        <v>1007</v>
      </c>
      <c r="C2267" s="5" t="s">
        <v>3677</v>
      </c>
      <c r="D2267" s="2" t="s">
        <v>3678</v>
      </c>
    </row>
    <row r="2268" spans="1:4" ht="12.95" customHeight="1" x14ac:dyDescent="0.25">
      <c r="A2268" s="2" t="s">
        <v>401</v>
      </c>
      <c r="B2268" s="2" t="s">
        <v>1007</v>
      </c>
      <c r="C2268" s="5" t="s">
        <v>3679</v>
      </c>
      <c r="D2268" s="2" t="s">
        <v>3680</v>
      </c>
    </row>
    <row r="2269" spans="1:4" ht="12.95" customHeight="1" x14ac:dyDescent="0.25">
      <c r="A2269" s="2" t="s">
        <v>401</v>
      </c>
      <c r="B2269" s="2" t="s">
        <v>1007</v>
      </c>
      <c r="C2269" s="5" t="s">
        <v>3681</v>
      </c>
      <c r="D2269" s="2" t="s">
        <v>3682</v>
      </c>
    </row>
    <row r="2270" spans="1:4" ht="12.95" customHeight="1" x14ac:dyDescent="0.25">
      <c r="A2270" s="2" t="s">
        <v>401</v>
      </c>
      <c r="B2270" s="2" t="s">
        <v>1007</v>
      </c>
      <c r="C2270" s="5" t="s">
        <v>3683</v>
      </c>
      <c r="D2270" s="2" t="s">
        <v>3684</v>
      </c>
    </row>
    <row r="2271" spans="1:4" ht="12.95" customHeight="1" x14ac:dyDescent="0.25">
      <c r="A2271" s="2" t="s">
        <v>401</v>
      </c>
      <c r="B2271" s="2" t="s">
        <v>1007</v>
      </c>
      <c r="C2271" s="5" t="s">
        <v>3685</v>
      </c>
      <c r="D2271" s="2" t="s">
        <v>3686</v>
      </c>
    </row>
    <row r="2272" spans="1:4" ht="12.95" customHeight="1" x14ac:dyDescent="0.25">
      <c r="A2272" s="2" t="s">
        <v>401</v>
      </c>
      <c r="B2272" s="2" t="s">
        <v>1007</v>
      </c>
      <c r="C2272" s="5" t="s">
        <v>3687</v>
      </c>
      <c r="D2272" s="2" t="s">
        <v>3688</v>
      </c>
    </row>
    <row r="2273" spans="1:4" ht="12.95" customHeight="1" x14ac:dyDescent="0.25">
      <c r="A2273" s="2" t="s">
        <v>401</v>
      </c>
      <c r="B2273" s="2" t="s">
        <v>1007</v>
      </c>
      <c r="C2273" s="5" t="s">
        <v>3689</v>
      </c>
      <c r="D2273" s="2" t="s">
        <v>3690</v>
      </c>
    </row>
    <row r="2274" spans="1:4" ht="12.95" customHeight="1" x14ac:dyDescent="0.25">
      <c r="A2274" s="2" t="s">
        <v>401</v>
      </c>
      <c r="B2274" s="2" t="s">
        <v>1007</v>
      </c>
      <c r="C2274" s="5" t="s">
        <v>3691</v>
      </c>
      <c r="D2274" s="2" t="s">
        <v>3692</v>
      </c>
    </row>
    <row r="2275" spans="1:4" ht="12.95" customHeight="1" x14ac:dyDescent="0.25">
      <c r="A2275" s="2" t="s">
        <v>401</v>
      </c>
      <c r="B2275" s="2" t="s">
        <v>1007</v>
      </c>
      <c r="C2275" s="5" t="s">
        <v>3693</v>
      </c>
      <c r="D2275" s="2" t="s">
        <v>3694</v>
      </c>
    </row>
    <row r="2276" spans="1:4" ht="12.95" customHeight="1" x14ac:dyDescent="0.25">
      <c r="A2276" s="2" t="s">
        <v>401</v>
      </c>
      <c r="B2276" s="2" t="s">
        <v>1007</v>
      </c>
      <c r="C2276" s="5" t="s">
        <v>3695</v>
      </c>
      <c r="D2276" s="2" t="s">
        <v>3499</v>
      </c>
    </row>
    <row r="2277" spans="1:4" ht="12.95" customHeight="1" x14ac:dyDescent="0.25">
      <c r="A2277" s="2" t="s">
        <v>401</v>
      </c>
      <c r="B2277" s="2" t="s">
        <v>1007</v>
      </c>
      <c r="C2277" s="5" t="s">
        <v>3696</v>
      </c>
      <c r="D2277" s="2" t="s">
        <v>3697</v>
      </c>
    </row>
    <row r="2278" spans="1:4" ht="12.95" customHeight="1" x14ac:dyDescent="0.25">
      <c r="A2278" s="2" t="s">
        <v>401</v>
      </c>
      <c r="B2278" s="2" t="s">
        <v>1007</v>
      </c>
      <c r="C2278" s="5" t="s">
        <v>3698</v>
      </c>
      <c r="D2278" s="2" t="s">
        <v>3699</v>
      </c>
    </row>
    <row r="2279" spans="1:4" ht="12.95" customHeight="1" x14ac:dyDescent="0.25">
      <c r="A2279" s="2" t="s">
        <v>401</v>
      </c>
      <c r="B2279" s="2" t="s">
        <v>1007</v>
      </c>
      <c r="C2279" s="5" t="s">
        <v>3700</v>
      </c>
      <c r="D2279" s="2" t="s">
        <v>3701</v>
      </c>
    </row>
    <row r="2280" spans="1:4" ht="12.95" customHeight="1" x14ac:dyDescent="0.25">
      <c r="A2280" s="2" t="s">
        <v>401</v>
      </c>
      <c r="B2280" s="2" t="s">
        <v>1007</v>
      </c>
      <c r="C2280" s="5" t="s">
        <v>3702</v>
      </c>
      <c r="D2280" s="2" t="s">
        <v>3334</v>
      </c>
    </row>
    <row r="2281" spans="1:4" ht="12.95" customHeight="1" x14ac:dyDescent="0.25">
      <c r="A2281" s="2" t="s">
        <v>401</v>
      </c>
      <c r="B2281" s="2" t="s">
        <v>1007</v>
      </c>
      <c r="C2281" s="5" t="s">
        <v>3703</v>
      </c>
      <c r="D2281" s="2" t="s">
        <v>3336</v>
      </c>
    </row>
    <row r="2282" spans="1:4" ht="12.95" customHeight="1" x14ac:dyDescent="0.25">
      <c r="A2282" s="2" t="s">
        <v>401</v>
      </c>
      <c r="B2282" s="2" t="s">
        <v>1007</v>
      </c>
      <c r="C2282" s="5" t="s">
        <v>3704</v>
      </c>
      <c r="D2282" s="2" t="s">
        <v>3511</v>
      </c>
    </row>
    <row r="2283" spans="1:4" ht="12.95" customHeight="1" x14ac:dyDescent="0.25">
      <c r="A2283" s="2" t="s">
        <v>401</v>
      </c>
      <c r="B2283" s="2" t="s">
        <v>1007</v>
      </c>
      <c r="C2283" s="5" t="s">
        <v>3705</v>
      </c>
      <c r="D2283" s="2" t="s">
        <v>3513</v>
      </c>
    </row>
    <row r="2284" spans="1:4" ht="12.95" customHeight="1" x14ac:dyDescent="0.25">
      <c r="A2284" s="2" t="s">
        <v>401</v>
      </c>
      <c r="B2284" s="2" t="s">
        <v>1007</v>
      </c>
      <c r="C2284" s="5" t="s">
        <v>3706</v>
      </c>
      <c r="D2284" s="2" t="s">
        <v>3707</v>
      </c>
    </row>
    <row r="2285" spans="1:4" ht="12.95" customHeight="1" x14ac:dyDescent="0.25">
      <c r="A2285" s="2" t="s">
        <v>401</v>
      </c>
      <c r="B2285" s="2" t="s">
        <v>1007</v>
      </c>
      <c r="C2285" s="5" t="s">
        <v>3708</v>
      </c>
      <c r="D2285" s="2" t="s">
        <v>3517</v>
      </c>
    </row>
    <row r="2286" spans="1:4" ht="12.95" customHeight="1" x14ac:dyDescent="0.25">
      <c r="A2286" s="2" t="s">
        <v>401</v>
      </c>
      <c r="B2286" s="2" t="s">
        <v>1007</v>
      </c>
      <c r="C2286" s="5" t="s">
        <v>3709</v>
      </c>
      <c r="D2286" s="2" t="s">
        <v>3519</v>
      </c>
    </row>
    <row r="2287" spans="1:4" ht="12.95" customHeight="1" x14ac:dyDescent="0.25">
      <c r="A2287" s="2" t="s">
        <v>401</v>
      </c>
      <c r="B2287" s="2" t="s">
        <v>1007</v>
      </c>
      <c r="C2287" s="5" t="s">
        <v>3710</v>
      </c>
      <c r="D2287" s="2" t="s">
        <v>3521</v>
      </c>
    </row>
    <row r="2288" spans="1:4" ht="12.95" customHeight="1" x14ac:dyDescent="0.25">
      <c r="A2288" s="2" t="s">
        <v>401</v>
      </c>
      <c r="B2288" s="2" t="s">
        <v>1007</v>
      </c>
      <c r="C2288" s="5" t="s">
        <v>3711</v>
      </c>
      <c r="D2288" s="2" t="s">
        <v>3712</v>
      </c>
    </row>
    <row r="2289" spans="1:4" ht="12.95" customHeight="1" x14ac:dyDescent="0.25">
      <c r="A2289" s="2" t="s">
        <v>401</v>
      </c>
      <c r="B2289" s="2" t="s">
        <v>1007</v>
      </c>
      <c r="C2289" s="5" t="s">
        <v>3713</v>
      </c>
      <c r="D2289" s="2" t="s">
        <v>3525</v>
      </c>
    </row>
    <row r="2290" spans="1:4" ht="12.95" customHeight="1" x14ac:dyDescent="0.25">
      <c r="A2290" s="2" t="s">
        <v>401</v>
      </c>
      <c r="B2290" s="2" t="s">
        <v>1007</v>
      </c>
      <c r="C2290" s="5" t="s">
        <v>3714</v>
      </c>
      <c r="D2290" s="2" t="s">
        <v>3340</v>
      </c>
    </row>
    <row r="2291" spans="1:4" ht="12.95" customHeight="1" x14ac:dyDescent="0.25">
      <c r="A2291" s="2" t="s">
        <v>401</v>
      </c>
      <c r="B2291" s="2" t="s">
        <v>1007</v>
      </c>
      <c r="C2291" s="5" t="s">
        <v>3715</v>
      </c>
      <c r="D2291" s="2" t="s">
        <v>3528</v>
      </c>
    </row>
    <row r="2292" spans="1:4" ht="12.95" customHeight="1" x14ac:dyDescent="0.25">
      <c r="A2292" s="2" t="s">
        <v>401</v>
      </c>
      <c r="B2292" s="2" t="s">
        <v>1007</v>
      </c>
      <c r="C2292" s="5" t="s">
        <v>3716</v>
      </c>
      <c r="D2292" s="2" t="s">
        <v>3717</v>
      </c>
    </row>
    <row r="2293" spans="1:4" ht="12.95" customHeight="1" x14ac:dyDescent="0.25">
      <c r="A2293" s="2" t="s">
        <v>401</v>
      </c>
      <c r="B2293" s="2" t="s">
        <v>1007</v>
      </c>
      <c r="C2293" s="5" t="s">
        <v>3718</v>
      </c>
      <c r="D2293" s="2" t="s">
        <v>3531</v>
      </c>
    </row>
    <row r="2294" spans="1:4" ht="12.95" customHeight="1" x14ac:dyDescent="0.25">
      <c r="A2294" s="2" t="s">
        <v>401</v>
      </c>
      <c r="B2294" s="2" t="s">
        <v>1007</v>
      </c>
      <c r="C2294" s="5" t="s">
        <v>3719</v>
      </c>
      <c r="D2294" s="2" t="s">
        <v>3348</v>
      </c>
    </row>
    <row r="2295" spans="1:4" ht="12.95" customHeight="1" x14ac:dyDescent="0.25">
      <c r="A2295" s="2" t="s">
        <v>401</v>
      </c>
      <c r="B2295" s="2" t="s">
        <v>1007</v>
      </c>
      <c r="C2295" s="5" t="s">
        <v>3720</v>
      </c>
      <c r="D2295" s="2" t="s">
        <v>3721</v>
      </c>
    </row>
    <row r="2296" spans="1:4" ht="12.95" customHeight="1" x14ac:dyDescent="0.25">
      <c r="A2296" s="2" t="s">
        <v>401</v>
      </c>
      <c r="B2296" s="2" t="s">
        <v>1007</v>
      </c>
      <c r="C2296" s="5" t="s">
        <v>3722</v>
      </c>
      <c r="D2296" s="2" t="s">
        <v>3723</v>
      </c>
    </row>
    <row r="2297" spans="1:4" ht="12.95" customHeight="1" x14ac:dyDescent="0.25">
      <c r="A2297" s="2" t="s">
        <v>401</v>
      </c>
      <c r="B2297" s="2" t="s">
        <v>1007</v>
      </c>
      <c r="C2297" s="5" t="s">
        <v>3724</v>
      </c>
      <c r="D2297" s="2" t="s">
        <v>3725</v>
      </c>
    </row>
    <row r="2298" spans="1:4" ht="12.95" customHeight="1" x14ac:dyDescent="0.25">
      <c r="A2298" s="2" t="s">
        <v>401</v>
      </c>
      <c r="B2298" s="2" t="s">
        <v>1007</v>
      </c>
      <c r="C2298" s="5" t="s">
        <v>3726</v>
      </c>
      <c r="D2298" s="2" t="s">
        <v>3727</v>
      </c>
    </row>
    <row r="2299" spans="1:4" ht="12.95" customHeight="1" x14ac:dyDescent="0.25">
      <c r="A2299" s="2" t="s">
        <v>401</v>
      </c>
      <c r="B2299" s="2" t="s">
        <v>1007</v>
      </c>
      <c r="C2299" s="5" t="s">
        <v>3728</v>
      </c>
      <c r="D2299" s="2" t="s">
        <v>3729</v>
      </c>
    </row>
    <row r="2300" spans="1:4" ht="12.95" customHeight="1" x14ac:dyDescent="0.25">
      <c r="A2300" s="2" t="s">
        <v>401</v>
      </c>
      <c r="B2300" s="2" t="s">
        <v>1007</v>
      </c>
      <c r="C2300" s="5" t="s">
        <v>3730</v>
      </c>
      <c r="D2300" s="2" t="s">
        <v>3731</v>
      </c>
    </row>
    <row r="2301" spans="1:4" ht="12.95" customHeight="1" x14ac:dyDescent="0.25">
      <c r="A2301" s="2" t="s">
        <v>401</v>
      </c>
      <c r="B2301" s="2" t="s">
        <v>1007</v>
      </c>
      <c r="C2301" s="5" t="s">
        <v>3732</v>
      </c>
      <c r="D2301" s="2" t="s">
        <v>3733</v>
      </c>
    </row>
    <row r="2302" spans="1:4" ht="12.95" customHeight="1" x14ac:dyDescent="0.25">
      <c r="A2302" s="2" t="s">
        <v>401</v>
      </c>
      <c r="B2302" s="2" t="s">
        <v>1007</v>
      </c>
      <c r="C2302" s="5" t="s">
        <v>3734</v>
      </c>
      <c r="D2302" s="2" t="s">
        <v>3735</v>
      </c>
    </row>
    <row r="2303" spans="1:4" ht="12.95" customHeight="1" x14ac:dyDescent="0.25">
      <c r="A2303" s="2" t="s">
        <v>401</v>
      </c>
      <c r="B2303" s="2" t="s">
        <v>1007</v>
      </c>
      <c r="C2303" s="5" t="s">
        <v>3736</v>
      </c>
      <c r="D2303" s="2" t="s">
        <v>3737</v>
      </c>
    </row>
    <row r="2304" spans="1:4" ht="12.95" customHeight="1" x14ac:dyDescent="0.25">
      <c r="A2304" s="2" t="s">
        <v>401</v>
      </c>
      <c r="B2304" s="2" t="s">
        <v>1007</v>
      </c>
      <c r="C2304" s="5" t="s">
        <v>3738</v>
      </c>
      <c r="D2304" s="2" t="s">
        <v>3739</v>
      </c>
    </row>
    <row r="2305" spans="1:4" ht="12.95" customHeight="1" x14ac:dyDescent="0.25">
      <c r="A2305" s="2" t="s">
        <v>401</v>
      </c>
      <c r="B2305" s="2" t="s">
        <v>1007</v>
      </c>
      <c r="C2305" s="5" t="s">
        <v>3740</v>
      </c>
      <c r="D2305" s="2" t="s">
        <v>3280</v>
      </c>
    </row>
    <row r="2306" spans="1:4" ht="12.95" customHeight="1" x14ac:dyDescent="0.25">
      <c r="A2306" s="2" t="s">
        <v>401</v>
      </c>
      <c r="B2306" s="2" t="s">
        <v>1007</v>
      </c>
      <c r="C2306" s="5" t="s">
        <v>3741</v>
      </c>
      <c r="D2306" s="2" t="s">
        <v>3394</v>
      </c>
    </row>
    <row r="2307" spans="1:4" ht="12.95" customHeight="1" x14ac:dyDescent="0.25">
      <c r="A2307" s="2" t="s">
        <v>401</v>
      </c>
      <c r="B2307" s="2" t="s">
        <v>1007</v>
      </c>
      <c r="C2307" s="5" t="s">
        <v>3742</v>
      </c>
      <c r="D2307" s="2" t="s">
        <v>3743</v>
      </c>
    </row>
    <row r="2308" spans="1:4" ht="12.95" customHeight="1" x14ac:dyDescent="0.25">
      <c r="A2308" s="2" t="s">
        <v>401</v>
      </c>
      <c r="B2308" s="2" t="s">
        <v>1007</v>
      </c>
      <c r="C2308" s="5" t="s">
        <v>3744</v>
      </c>
      <c r="D2308" s="2" t="s">
        <v>3745</v>
      </c>
    </row>
    <row r="2309" spans="1:4" ht="12.95" customHeight="1" x14ac:dyDescent="0.25">
      <c r="A2309" s="2" t="s">
        <v>401</v>
      </c>
      <c r="B2309" s="2" t="s">
        <v>1007</v>
      </c>
      <c r="C2309" s="5" t="s">
        <v>3746</v>
      </c>
      <c r="D2309" s="2" t="s">
        <v>3747</v>
      </c>
    </row>
    <row r="2310" spans="1:4" ht="12.95" customHeight="1" x14ac:dyDescent="0.25">
      <c r="A2310" s="2" t="s">
        <v>401</v>
      </c>
      <c r="B2310" s="2" t="s">
        <v>1007</v>
      </c>
      <c r="C2310" s="5" t="s">
        <v>3748</v>
      </c>
      <c r="D2310" s="2" t="s">
        <v>3749</v>
      </c>
    </row>
    <row r="2311" spans="1:4" ht="12.95" customHeight="1" x14ac:dyDescent="0.25">
      <c r="A2311" s="2" t="s">
        <v>401</v>
      </c>
      <c r="B2311" s="2" t="s">
        <v>1007</v>
      </c>
      <c r="C2311" s="5" t="s">
        <v>3750</v>
      </c>
      <c r="D2311" s="2" t="s">
        <v>3751</v>
      </c>
    </row>
    <row r="2312" spans="1:4" ht="12.95" customHeight="1" x14ac:dyDescent="0.25">
      <c r="A2312" s="2" t="s">
        <v>401</v>
      </c>
      <c r="B2312" s="2" t="s">
        <v>1007</v>
      </c>
      <c r="C2312" s="5" t="s">
        <v>3752</v>
      </c>
      <c r="D2312" s="2" t="s">
        <v>3312</v>
      </c>
    </row>
    <row r="2313" spans="1:4" ht="12.95" customHeight="1" x14ac:dyDescent="0.25">
      <c r="A2313" s="2" t="s">
        <v>401</v>
      </c>
      <c r="B2313" s="2" t="s">
        <v>1007</v>
      </c>
      <c r="C2313" s="5" t="s">
        <v>3753</v>
      </c>
      <c r="D2313" s="2" t="s">
        <v>3314</v>
      </c>
    </row>
    <row r="2314" spans="1:4" ht="12.95" customHeight="1" x14ac:dyDescent="0.25">
      <c r="A2314" s="2" t="s">
        <v>401</v>
      </c>
      <c r="B2314" s="2" t="s">
        <v>1007</v>
      </c>
      <c r="C2314" s="5" t="s">
        <v>3754</v>
      </c>
      <c r="D2314" s="2" t="s">
        <v>3755</v>
      </c>
    </row>
    <row r="2315" spans="1:4" ht="12.95" customHeight="1" x14ac:dyDescent="0.25">
      <c r="A2315" s="2" t="s">
        <v>401</v>
      </c>
      <c r="B2315" s="2" t="s">
        <v>1007</v>
      </c>
      <c r="C2315" s="5" t="s">
        <v>3756</v>
      </c>
      <c r="D2315" s="2" t="s">
        <v>3757</v>
      </c>
    </row>
    <row r="2316" spans="1:4" ht="12.95" customHeight="1" x14ac:dyDescent="0.25">
      <c r="A2316" s="2" t="s">
        <v>401</v>
      </c>
      <c r="B2316" s="2" t="s">
        <v>1007</v>
      </c>
      <c r="C2316" s="5" t="s">
        <v>3758</v>
      </c>
      <c r="D2316" s="2" t="s">
        <v>3759</v>
      </c>
    </row>
    <row r="2317" spans="1:4" ht="12.95" customHeight="1" x14ac:dyDescent="0.25">
      <c r="A2317" s="2" t="s">
        <v>401</v>
      </c>
      <c r="B2317" s="2" t="s">
        <v>1007</v>
      </c>
      <c r="C2317" s="5" t="s">
        <v>3760</v>
      </c>
      <c r="D2317" s="2" t="s">
        <v>3761</v>
      </c>
    </row>
    <row r="2318" spans="1:4" ht="12.95" customHeight="1" x14ac:dyDescent="0.25">
      <c r="A2318" s="2" t="s">
        <v>401</v>
      </c>
      <c r="B2318" s="2" t="s">
        <v>1007</v>
      </c>
      <c r="C2318" s="5" t="s">
        <v>3762</v>
      </c>
      <c r="D2318" s="2" t="s">
        <v>3763</v>
      </c>
    </row>
    <row r="2319" spans="1:4" ht="12.95" customHeight="1" x14ac:dyDescent="0.25">
      <c r="A2319" s="2" t="s">
        <v>401</v>
      </c>
      <c r="B2319" s="2" t="s">
        <v>1007</v>
      </c>
      <c r="C2319" s="5" t="s">
        <v>3764</v>
      </c>
      <c r="D2319" s="2" t="s">
        <v>3765</v>
      </c>
    </row>
    <row r="2320" spans="1:4" ht="12.95" customHeight="1" x14ac:dyDescent="0.25">
      <c r="A2320" s="2" t="s">
        <v>401</v>
      </c>
      <c r="B2320" s="2" t="s">
        <v>1007</v>
      </c>
      <c r="C2320" s="5" t="s">
        <v>3766</v>
      </c>
      <c r="D2320" s="2" t="s">
        <v>3767</v>
      </c>
    </row>
    <row r="2321" spans="1:4" ht="12.95" customHeight="1" x14ac:dyDescent="0.25">
      <c r="A2321" s="2" t="s">
        <v>401</v>
      </c>
      <c r="B2321" s="2" t="s">
        <v>1007</v>
      </c>
      <c r="C2321" s="5" t="s">
        <v>1393</v>
      </c>
      <c r="D2321" s="2" t="s">
        <v>3768</v>
      </c>
    </row>
    <row r="2322" spans="1:4" ht="12.95" customHeight="1" x14ac:dyDescent="0.25">
      <c r="A2322" s="2" t="s">
        <v>401</v>
      </c>
      <c r="B2322" s="2" t="s">
        <v>1007</v>
      </c>
      <c r="C2322" s="5" t="s">
        <v>3769</v>
      </c>
      <c r="D2322" s="2" t="s">
        <v>3770</v>
      </c>
    </row>
    <row r="2323" spans="1:4" ht="12.95" customHeight="1" x14ac:dyDescent="0.25">
      <c r="A2323" s="2" t="s">
        <v>401</v>
      </c>
      <c r="B2323" s="2" t="s">
        <v>1007</v>
      </c>
      <c r="C2323" s="5" t="s">
        <v>3771</v>
      </c>
      <c r="D2323" s="2" t="s">
        <v>3772</v>
      </c>
    </row>
    <row r="2324" spans="1:4" ht="12.95" customHeight="1" x14ac:dyDescent="0.25">
      <c r="A2324" s="2" t="s">
        <v>401</v>
      </c>
      <c r="B2324" s="2" t="s">
        <v>1007</v>
      </c>
      <c r="C2324" s="5" t="s">
        <v>3773</v>
      </c>
      <c r="D2324" s="2" t="s">
        <v>3774</v>
      </c>
    </row>
    <row r="2325" spans="1:4" ht="12.95" customHeight="1" x14ac:dyDescent="0.25">
      <c r="A2325" s="2" t="s">
        <v>401</v>
      </c>
      <c r="B2325" s="2" t="s">
        <v>1007</v>
      </c>
      <c r="C2325" s="5" t="s">
        <v>3775</v>
      </c>
      <c r="D2325" s="2" t="s">
        <v>3776</v>
      </c>
    </row>
    <row r="2326" spans="1:4" ht="12.95" customHeight="1" x14ac:dyDescent="0.25">
      <c r="A2326" s="2" t="s">
        <v>401</v>
      </c>
      <c r="B2326" s="2" t="s">
        <v>1007</v>
      </c>
      <c r="C2326" s="5" t="s">
        <v>3777</v>
      </c>
      <c r="D2326" s="2" t="s">
        <v>3778</v>
      </c>
    </row>
    <row r="2327" spans="1:4" ht="12.95" customHeight="1" x14ac:dyDescent="0.25">
      <c r="A2327" s="2" t="s">
        <v>401</v>
      </c>
      <c r="B2327" s="2" t="s">
        <v>1007</v>
      </c>
      <c r="C2327" s="5" t="s">
        <v>1395</v>
      </c>
      <c r="D2327" s="2" t="s">
        <v>3779</v>
      </c>
    </row>
    <row r="2328" spans="1:4" ht="12.95" customHeight="1" x14ac:dyDescent="0.25">
      <c r="A2328" s="2" t="s">
        <v>401</v>
      </c>
      <c r="B2328" s="2" t="s">
        <v>1007</v>
      </c>
      <c r="C2328" s="5" t="s">
        <v>3780</v>
      </c>
      <c r="D2328" s="2" t="s">
        <v>3781</v>
      </c>
    </row>
    <row r="2329" spans="1:4" ht="12.95" customHeight="1" x14ac:dyDescent="0.25">
      <c r="A2329" s="2" t="s">
        <v>401</v>
      </c>
      <c r="B2329" s="2" t="s">
        <v>1007</v>
      </c>
      <c r="C2329" s="5" t="s">
        <v>3782</v>
      </c>
      <c r="D2329" s="2" t="s">
        <v>3783</v>
      </c>
    </row>
    <row r="2330" spans="1:4" ht="12.95" customHeight="1" x14ac:dyDescent="0.25">
      <c r="A2330" s="2" t="s">
        <v>401</v>
      </c>
      <c r="B2330" s="2" t="s">
        <v>1007</v>
      </c>
      <c r="C2330" s="5" t="s">
        <v>3784</v>
      </c>
      <c r="D2330" s="2" t="s">
        <v>3785</v>
      </c>
    </row>
    <row r="2331" spans="1:4" ht="12.95" customHeight="1" x14ac:dyDescent="0.25">
      <c r="A2331" s="2" t="s">
        <v>401</v>
      </c>
      <c r="B2331" s="2" t="s">
        <v>1007</v>
      </c>
      <c r="C2331" s="5" t="s">
        <v>3786</v>
      </c>
      <c r="D2331" s="2" t="s">
        <v>3787</v>
      </c>
    </row>
    <row r="2332" spans="1:4" ht="12.95" customHeight="1" x14ac:dyDescent="0.25">
      <c r="A2332" s="2" t="s">
        <v>401</v>
      </c>
      <c r="B2332" s="2" t="s">
        <v>1007</v>
      </c>
      <c r="C2332" s="5" t="s">
        <v>3788</v>
      </c>
      <c r="D2332" s="2" t="s">
        <v>3789</v>
      </c>
    </row>
    <row r="2333" spans="1:4" ht="12.95" customHeight="1" x14ac:dyDescent="0.25">
      <c r="A2333" s="2" t="s">
        <v>401</v>
      </c>
      <c r="B2333" s="2" t="s">
        <v>1007</v>
      </c>
      <c r="C2333" s="5" t="s">
        <v>3790</v>
      </c>
      <c r="D2333" s="2" t="s">
        <v>3791</v>
      </c>
    </row>
    <row r="2334" spans="1:4" ht="12.95" customHeight="1" x14ac:dyDescent="0.25">
      <c r="A2334" s="2" t="s">
        <v>401</v>
      </c>
      <c r="B2334" s="2" t="s">
        <v>1007</v>
      </c>
      <c r="C2334" s="5" t="s">
        <v>3792</v>
      </c>
      <c r="D2334" s="2" t="s">
        <v>3793</v>
      </c>
    </row>
    <row r="2335" spans="1:4" ht="12.95" customHeight="1" x14ac:dyDescent="0.25">
      <c r="A2335" s="2" t="s">
        <v>401</v>
      </c>
      <c r="B2335" s="2" t="s">
        <v>1007</v>
      </c>
      <c r="C2335" s="5" t="s">
        <v>3794</v>
      </c>
      <c r="D2335" s="2" t="s">
        <v>3392</v>
      </c>
    </row>
    <row r="2336" spans="1:4" ht="12.95" customHeight="1" x14ac:dyDescent="0.25">
      <c r="A2336" s="2" t="s">
        <v>401</v>
      </c>
      <c r="B2336" s="2" t="s">
        <v>1007</v>
      </c>
      <c r="C2336" s="5" t="s">
        <v>3795</v>
      </c>
      <c r="D2336" s="2" t="s">
        <v>3394</v>
      </c>
    </row>
    <row r="2337" spans="1:4" ht="12.95" customHeight="1" x14ac:dyDescent="0.25">
      <c r="A2337" s="2" t="s">
        <v>401</v>
      </c>
      <c r="B2337" s="2" t="s">
        <v>1007</v>
      </c>
      <c r="C2337" s="5" t="s">
        <v>3796</v>
      </c>
      <c r="D2337" s="2" t="s">
        <v>3797</v>
      </c>
    </row>
    <row r="2338" spans="1:4" ht="12.95" customHeight="1" x14ac:dyDescent="0.25">
      <c r="A2338" s="2" t="s">
        <v>401</v>
      </c>
      <c r="B2338" s="2" t="s">
        <v>1007</v>
      </c>
      <c r="C2338" s="5" t="s">
        <v>3798</v>
      </c>
      <c r="D2338" s="2" t="s">
        <v>3799</v>
      </c>
    </row>
    <row r="2339" spans="1:4" ht="12.95" customHeight="1" x14ac:dyDescent="0.25">
      <c r="A2339" s="2" t="s">
        <v>401</v>
      </c>
      <c r="B2339" s="2" t="s">
        <v>1007</v>
      </c>
      <c r="C2339" s="5" t="s">
        <v>3800</v>
      </c>
      <c r="D2339" s="2" t="s">
        <v>3801</v>
      </c>
    </row>
    <row r="2340" spans="1:4" ht="12.95" customHeight="1" x14ac:dyDescent="0.25">
      <c r="A2340" s="2" t="s">
        <v>401</v>
      </c>
      <c r="B2340" s="2" t="s">
        <v>1007</v>
      </c>
      <c r="C2340" s="5" t="s">
        <v>3802</v>
      </c>
      <c r="D2340" s="2" t="s">
        <v>3803</v>
      </c>
    </row>
    <row r="2341" spans="1:4" ht="12.95" customHeight="1" x14ac:dyDescent="0.25">
      <c r="A2341" s="2" t="s">
        <v>401</v>
      </c>
      <c r="B2341" s="2" t="s">
        <v>1007</v>
      </c>
      <c r="C2341" s="5" t="s">
        <v>3804</v>
      </c>
      <c r="D2341" s="2" t="s">
        <v>3312</v>
      </c>
    </row>
    <row r="2342" spans="1:4" ht="12.95" customHeight="1" x14ac:dyDescent="0.25">
      <c r="A2342" s="2" t="s">
        <v>401</v>
      </c>
      <c r="B2342" s="2" t="s">
        <v>1007</v>
      </c>
      <c r="C2342" s="5" t="s">
        <v>3805</v>
      </c>
      <c r="D2342" s="2" t="s">
        <v>3314</v>
      </c>
    </row>
    <row r="2343" spans="1:4" ht="12.95" customHeight="1" x14ac:dyDescent="0.25">
      <c r="A2343" s="2" t="s">
        <v>401</v>
      </c>
      <c r="B2343" s="2" t="s">
        <v>1007</v>
      </c>
      <c r="C2343" s="5" t="s">
        <v>3806</v>
      </c>
      <c r="D2343" s="2" t="s">
        <v>3807</v>
      </c>
    </row>
    <row r="2344" spans="1:4" ht="12.95" customHeight="1" x14ac:dyDescent="0.25">
      <c r="A2344" s="2" t="s">
        <v>401</v>
      </c>
      <c r="B2344" s="2" t="s">
        <v>1007</v>
      </c>
      <c r="C2344" s="5" t="s">
        <v>3808</v>
      </c>
      <c r="D2344" s="2" t="s">
        <v>3809</v>
      </c>
    </row>
    <row r="2345" spans="1:4" ht="12.95" customHeight="1" x14ac:dyDescent="0.25">
      <c r="A2345" s="2" t="s">
        <v>401</v>
      </c>
      <c r="B2345" s="2" t="s">
        <v>1007</v>
      </c>
      <c r="C2345" s="5" t="s">
        <v>3810</v>
      </c>
      <c r="D2345" s="2" t="s">
        <v>3811</v>
      </c>
    </row>
    <row r="2346" spans="1:4" ht="12.95" customHeight="1" x14ac:dyDescent="0.25">
      <c r="A2346" s="2" t="s">
        <v>401</v>
      </c>
      <c r="B2346" s="2" t="s">
        <v>1007</v>
      </c>
      <c r="C2346" s="5" t="s">
        <v>3812</v>
      </c>
      <c r="D2346" s="2" t="s">
        <v>3813</v>
      </c>
    </row>
    <row r="2347" spans="1:4" ht="12.95" customHeight="1" x14ac:dyDescent="0.25">
      <c r="A2347" s="2" t="s">
        <v>401</v>
      </c>
      <c r="B2347" s="2" t="s">
        <v>1007</v>
      </c>
      <c r="C2347" s="5" t="s">
        <v>3814</v>
      </c>
      <c r="D2347" s="2" t="s">
        <v>3815</v>
      </c>
    </row>
    <row r="2348" spans="1:4" ht="12.95" customHeight="1" x14ac:dyDescent="0.25">
      <c r="A2348" s="2" t="s">
        <v>401</v>
      </c>
      <c r="B2348" s="2" t="s">
        <v>1007</v>
      </c>
      <c r="C2348" s="5" t="s">
        <v>3816</v>
      </c>
      <c r="D2348" s="2" t="s">
        <v>3817</v>
      </c>
    </row>
    <row r="2349" spans="1:4" ht="12.95" customHeight="1" x14ac:dyDescent="0.25">
      <c r="A2349" s="2" t="s">
        <v>401</v>
      </c>
      <c r="B2349" s="2" t="s">
        <v>1007</v>
      </c>
      <c r="C2349" s="5" t="s">
        <v>3818</v>
      </c>
      <c r="D2349" s="2" t="s">
        <v>3819</v>
      </c>
    </row>
    <row r="2350" spans="1:4" ht="12.95" customHeight="1" x14ac:dyDescent="0.25">
      <c r="A2350" s="2" t="s">
        <v>401</v>
      </c>
      <c r="B2350" s="2" t="s">
        <v>1007</v>
      </c>
      <c r="C2350" s="5" t="s">
        <v>3820</v>
      </c>
      <c r="D2350" s="2" t="s">
        <v>3821</v>
      </c>
    </row>
    <row r="2351" spans="1:4" ht="12.95" customHeight="1" x14ac:dyDescent="0.25">
      <c r="A2351" s="2" t="s">
        <v>401</v>
      </c>
      <c r="B2351" s="2" t="s">
        <v>1007</v>
      </c>
      <c r="C2351" s="5" t="s">
        <v>3822</v>
      </c>
      <c r="D2351" s="2" t="s">
        <v>3823</v>
      </c>
    </row>
    <row r="2352" spans="1:4" ht="12.95" customHeight="1" x14ac:dyDescent="0.25">
      <c r="A2352" s="2" t="s">
        <v>401</v>
      </c>
      <c r="B2352" s="2" t="s">
        <v>1007</v>
      </c>
      <c r="C2352" s="5" t="s">
        <v>3824</v>
      </c>
      <c r="D2352" s="2" t="s">
        <v>3825</v>
      </c>
    </row>
    <row r="2353" spans="1:4" ht="12.95" customHeight="1" x14ac:dyDescent="0.25">
      <c r="A2353" s="2" t="s">
        <v>401</v>
      </c>
      <c r="B2353" s="2" t="s">
        <v>1007</v>
      </c>
      <c r="C2353" s="5" t="s">
        <v>3826</v>
      </c>
      <c r="D2353" s="2" t="s">
        <v>3827</v>
      </c>
    </row>
    <row r="2354" spans="1:4" ht="12.95" customHeight="1" x14ac:dyDescent="0.25">
      <c r="A2354" s="2" t="s">
        <v>401</v>
      </c>
      <c r="B2354" s="2" t="s">
        <v>1007</v>
      </c>
      <c r="C2354" s="5" t="s">
        <v>3828</v>
      </c>
      <c r="D2354" s="2" t="s">
        <v>3829</v>
      </c>
    </row>
    <row r="2355" spans="1:4" ht="12.95" customHeight="1" x14ac:dyDescent="0.25">
      <c r="A2355" s="2" t="s">
        <v>401</v>
      </c>
      <c r="B2355" s="2" t="s">
        <v>1007</v>
      </c>
      <c r="C2355" s="5" t="s">
        <v>3830</v>
      </c>
      <c r="D2355" s="2" t="s">
        <v>3831</v>
      </c>
    </row>
    <row r="2356" spans="1:4" ht="12.95" customHeight="1" x14ac:dyDescent="0.25">
      <c r="A2356" s="2" t="s">
        <v>401</v>
      </c>
      <c r="B2356" s="2" t="s">
        <v>1007</v>
      </c>
      <c r="C2356" s="5" t="s">
        <v>1563</v>
      </c>
      <c r="D2356" s="2" t="s">
        <v>3832</v>
      </c>
    </row>
    <row r="2357" spans="1:4" ht="12.95" customHeight="1" x14ac:dyDescent="0.25">
      <c r="A2357" s="2" t="s">
        <v>401</v>
      </c>
      <c r="B2357" s="2" t="s">
        <v>1007</v>
      </c>
      <c r="C2357" s="5" t="s">
        <v>3833</v>
      </c>
      <c r="D2357" s="2" t="s">
        <v>3834</v>
      </c>
    </row>
    <row r="2358" spans="1:4" ht="12.95" customHeight="1" x14ac:dyDescent="0.25">
      <c r="A2358" s="2" t="s">
        <v>401</v>
      </c>
      <c r="B2358" s="2" t="s">
        <v>1007</v>
      </c>
      <c r="C2358" s="5" t="s">
        <v>3835</v>
      </c>
      <c r="D2358" s="2" t="s">
        <v>3836</v>
      </c>
    </row>
    <row r="2359" spans="1:4" ht="12.95" customHeight="1" x14ac:dyDescent="0.25">
      <c r="A2359" s="2" t="s">
        <v>401</v>
      </c>
      <c r="B2359" s="2" t="s">
        <v>1007</v>
      </c>
      <c r="C2359" s="5" t="s">
        <v>3837</v>
      </c>
      <c r="D2359" s="2" t="s">
        <v>3838</v>
      </c>
    </row>
    <row r="2360" spans="1:4" ht="12.95" customHeight="1" x14ac:dyDescent="0.25">
      <c r="A2360" s="2" t="s">
        <v>401</v>
      </c>
      <c r="B2360" s="2" t="s">
        <v>1007</v>
      </c>
      <c r="C2360" s="5" t="s">
        <v>3839</v>
      </c>
      <c r="D2360" s="2" t="s">
        <v>3840</v>
      </c>
    </row>
    <row r="2361" spans="1:4" ht="12.95" customHeight="1" x14ac:dyDescent="0.25">
      <c r="A2361" s="2" t="s">
        <v>401</v>
      </c>
      <c r="B2361" s="2" t="s">
        <v>1007</v>
      </c>
      <c r="C2361" s="5" t="s">
        <v>3841</v>
      </c>
      <c r="D2361" s="2" t="s">
        <v>3842</v>
      </c>
    </row>
    <row r="2362" spans="1:4" ht="12.95" customHeight="1" x14ac:dyDescent="0.25">
      <c r="A2362" s="2" t="s">
        <v>401</v>
      </c>
      <c r="B2362" s="2" t="s">
        <v>1007</v>
      </c>
      <c r="C2362" s="5" t="s">
        <v>3843</v>
      </c>
      <c r="D2362" s="2" t="s">
        <v>3844</v>
      </c>
    </row>
    <row r="2363" spans="1:4" ht="12.95" customHeight="1" x14ac:dyDescent="0.25">
      <c r="A2363" s="2" t="s">
        <v>401</v>
      </c>
      <c r="B2363" s="2" t="s">
        <v>1007</v>
      </c>
      <c r="C2363" s="5" t="s">
        <v>3845</v>
      </c>
      <c r="D2363" s="2" t="s">
        <v>3846</v>
      </c>
    </row>
    <row r="2364" spans="1:4" ht="12.95" customHeight="1" x14ac:dyDescent="0.25">
      <c r="A2364" s="2" t="s">
        <v>401</v>
      </c>
      <c r="B2364" s="2" t="s">
        <v>1007</v>
      </c>
      <c r="C2364" s="5" t="s">
        <v>3847</v>
      </c>
      <c r="D2364" s="2" t="s">
        <v>3848</v>
      </c>
    </row>
    <row r="2365" spans="1:4" ht="12.95" customHeight="1" x14ac:dyDescent="0.25">
      <c r="A2365" s="2" t="s">
        <v>401</v>
      </c>
      <c r="B2365" s="2" t="s">
        <v>1007</v>
      </c>
      <c r="C2365" s="5" t="s">
        <v>3849</v>
      </c>
      <c r="D2365" s="2" t="s">
        <v>3850</v>
      </c>
    </row>
    <row r="2366" spans="1:4" ht="12.95" customHeight="1" x14ac:dyDescent="0.25">
      <c r="A2366" s="2" t="s">
        <v>401</v>
      </c>
      <c r="B2366" s="2" t="s">
        <v>1007</v>
      </c>
      <c r="C2366" s="5" t="s">
        <v>3851</v>
      </c>
      <c r="D2366" s="2" t="s">
        <v>3392</v>
      </c>
    </row>
    <row r="2367" spans="1:4" ht="12.95" customHeight="1" x14ac:dyDescent="0.25">
      <c r="A2367" s="2" t="s">
        <v>401</v>
      </c>
      <c r="B2367" s="2" t="s">
        <v>1007</v>
      </c>
      <c r="C2367" s="5" t="s">
        <v>3852</v>
      </c>
      <c r="D2367" s="2" t="s">
        <v>3394</v>
      </c>
    </row>
    <row r="2368" spans="1:4" ht="12.95" customHeight="1" x14ac:dyDescent="0.25">
      <c r="A2368" s="2" t="s">
        <v>401</v>
      </c>
      <c r="B2368" s="2" t="s">
        <v>1007</v>
      </c>
      <c r="C2368" s="5" t="s">
        <v>3853</v>
      </c>
      <c r="D2368" s="2" t="s">
        <v>3854</v>
      </c>
    </row>
    <row r="2369" spans="1:4" ht="12.95" customHeight="1" x14ac:dyDescent="0.25">
      <c r="A2369" s="2" t="s">
        <v>401</v>
      </c>
      <c r="B2369" s="2" t="s">
        <v>1007</v>
      </c>
      <c r="C2369" s="5" t="s">
        <v>3855</v>
      </c>
      <c r="D2369" s="2" t="s">
        <v>3856</v>
      </c>
    </row>
    <row r="2370" spans="1:4" ht="12.95" customHeight="1" x14ac:dyDescent="0.25">
      <c r="A2370" s="2" t="s">
        <v>401</v>
      </c>
      <c r="B2370" s="2" t="s">
        <v>1007</v>
      </c>
      <c r="C2370" s="5" t="s">
        <v>3857</v>
      </c>
      <c r="D2370" s="2" t="s">
        <v>3858</v>
      </c>
    </row>
    <row r="2371" spans="1:4" ht="12.95" customHeight="1" x14ac:dyDescent="0.25">
      <c r="A2371" s="2" t="s">
        <v>401</v>
      </c>
      <c r="B2371" s="2" t="s">
        <v>1007</v>
      </c>
      <c r="C2371" s="5" t="s">
        <v>3859</v>
      </c>
      <c r="D2371" s="2" t="s">
        <v>3860</v>
      </c>
    </row>
    <row r="2372" spans="1:4" ht="12.95" customHeight="1" x14ac:dyDescent="0.25">
      <c r="A2372" s="2" t="s">
        <v>401</v>
      </c>
      <c r="B2372" s="2" t="s">
        <v>1007</v>
      </c>
      <c r="C2372" s="5" t="s">
        <v>3861</v>
      </c>
      <c r="D2372" s="2" t="s">
        <v>3862</v>
      </c>
    </row>
    <row r="2373" spans="1:4" ht="12.95" customHeight="1" x14ac:dyDescent="0.25">
      <c r="A2373" s="2" t="s">
        <v>401</v>
      </c>
      <c r="B2373" s="2" t="s">
        <v>1007</v>
      </c>
      <c r="C2373" s="5" t="s">
        <v>3863</v>
      </c>
      <c r="D2373" s="2" t="s">
        <v>3312</v>
      </c>
    </row>
    <row r="2374" spans="1:4" ht="12.95" customHeight="1" x14ac:dyDescent="0.25">
      <c r="A2374" s="2" t="s">
        <v>401</v>
      </c>
      <c r="B2374" s="2" t="s">
        <v>1007</v>
      </c>
      <c r="C2374" s="5" t="s">
        <v>3864</v>
      </c>
      <c r="D2374" s="2" t="s">
        <v>3314</v>
      </c>
    </row>
    <row r="2375" spans="1:4" ht="12.95" customHeight="1" x14ac:dyDescent="0.25">
      <c r="A2375" s="2" t="s">
        <v>401</v>
      </c>
      <c r="B2375" s="2" t="s">
        <v>1007</v>
      </c>
      <c r="C2375" s="5" t="s">
        <v>3865</v>
      </c>
      <c r="D2375" s="2" t="s">
        <v>3866</v>
      </c>
    </row>
    <row r="2376" spans="1:4" ht="12.95" customHeight="1" x14ac:dyDescent="0.25">
      <c r="A2376" s="2" t="s">
        <v>401</v>
      </c>
      <c r="B2376" s="2" t="s">
        <v>1007</v>
      </c>
      <c r="C2376" s="5" t="s">
        <v>3867</v>
      </c>
      <c r="D2376" s="2" t="s">
        <v>3868</v>
      </c>
    </row>
    <row r="2377" spans="1:4" ht="12.95" customHeight="1" x14ac:dyDescent="0.25">
      <c r="A2377" s="2" t="s">
        <v>401</v>
      </c>
      <c r="B2377" s="2" t="s">
        <v>1007</v>
      </c>
      <c r="C2377" s="5" t="s">
        <v>3869</v>
      </c>
      <c r="D2377" s="2" t="s">
        <v>3870</v>
      </c>
    </row>
    <row r="2378" spans="1:4" ht="12.95" customHeight="1" x14ac:dyDescent="0.25">
      <c r="A2378" s="2" t="s">
        <v>401</v>
      </c>
      <c r="B2378" s="2" t="s">
        <v>1007</v>
      </c>
      <c r="C2378" s="5" t="s">
        <v>3871</v>
      </c>
      <c r="D2378" s="2" t="s">
        <v>3872</v>
      </c>
    </row>
    <row r="2379" spans="1:4" ht="12.95" customHeight="1" x14ac:dyDescent="0.25">
      <c r="A2379" s="2" t="s">
        <v>401</v>
      </c>
      <c r="B2379" s="2" t="s">
        <v>1007</v>
      </c>
      <c r="C2379" s="5" t="s">
        <v>3873</v>
      </c>
      <c r="D2379" s="2" t="s">
        <v>3874</v>
      </c>
    </row>
    <row r="2380" spans="1:4" ht="12.95" customHeight="1" x14ac:dyDescent="0.25">
      <c r="A2380" s="2" t="s">
        <v>401</v>
      </c>
      <c r="B2380" s="2" t="s">
        <v>1007</v>
      </c>
      <c r="C2380" s="5" t="s">
        <v>3875</v>
      </c>
      <c r="D2380" s="2" t="s">
        <v>3876</v>
      </c>
    </row>
    <row r="2381" spans="1:4" ht="12.95" customHeight="1" x14ac:dyDescent="0.25">
      <c r="A2381" s="2" t="s">
        <v>401</v>
      </c>
      <c r="B2381" s="2" t="s">
        <v>1007</v>
      </c>
      <c r="C2381" s="5" t="s">
        <v>3877</v>
      </c>
      <c r="D2381" s="2" t="s">
        <v>3878</v>
      </c>
    </row>
    <row r="2382" spans="1:4" ht="12.95" customHeight="1" x14ac:dyDescent="0.25">
      <c r="A2382" s="2" t="s">
        <v>401</v>
      </c>
      <c r="B2382" s="2" t="s">
        <v>1007</v>
      </c>
      <c r="C2382" s="5" t="s">
        <v>3879</v>
      </c>
      <c r="D2382" s="2" t="s">
        <v>3880</v>
      </c>
    </row>
    <row r="2383" spans="1:4" ht="12.95" customHeight="1" x14ac:dyDescent="0.25">
      <c r="A2383" s="2" t="s">
        <v>401</v>
      </c>
      <c r="B2383" s="2" t="s">
        <v>1007</v>
      </c>
      <c r="C2383" s="5" t="s">
        <v>3881</v>
      </c>
      <c r="D2383" s="2" t="s">
        <v>3882</v>
      </c>
    </row>
    <row r="2384" spans="1:4" ht="12.95" customHeight="1" x14ac:dyDescent="0.25">
      <c r="A2384" s="2" t="s">
        <v>401</v>
      </c>
      <c r="B2384" s="2" t="s">
        <v>1007</v>
      </c>
      <c r="C2384" s="5" t="s">
        <v>3883</v>
      </c>
      <c r="D2384" s="2" t="s">
        <v>3884</v>
      </c>
    </row>
    <row r="2385" spans="1:4" ht="12.95" customHeight="1" x14ac:dyDescent="0.25">
      <c r="A2385" s="2" t="s">
        <v>401</v>
      </c>
      <c r="B2385" s="2" t="s">
        <v>1007</v>
      </c>
      <c r="C2385" s="5" t="s">
        <v>3885</v>
      </c>
      <c r="D2385" s="2" t="s">
        <v>3886</v>
      </c>
    </row>
    <row r="2386" spans="1:4" ht="12.95" customHeight="1" x14ac:dyDescent="0.25">
      <c r="A2386" s="2" t="s">
        <v>401</v>
      </c>
      <c r="B2386" s="2" t="s">
        <v>1007</v>
      </c>
      <c r="C2386" s="5" t="s">
        <v>3887</v>
      </c>
      <c r="D2386" s="2" t="s">
        <v>3888</v>
      </c>
    </row>
    <row r="2387" spans="1:4" ht="12.95" customHeight="1" x14ac:dyDescent="0.25">
      <c r="A2387" s="2" t="s">
        <v>401</v>
      </c>
      <c r="B2387" s="2" t="s">
        <v>1007</v>
      </c>
      <c r="C2387" s="5" t="s">
        <v>3889</v>
      </c>
      <c r="D2387" s="2" t="s">
        <v>3890</v>
      </c>
    </row>
    <row r="2388" spans="1:4" ht="12.95" customHeight="1" x14ac:dyDescent="0.25">
      <c r="A2388" s="2" t="s">
        <v>401</v>
      </c>
      <c r="B2388" s="2" t="s">
        <v>1007</v>
      </c>
      <c r="C2388" s="5" t="s">
        <v>3891</v>
      </c>
      <c r="D2388" s="2" t="s">
        <v>3892</v>
      </c>
    </row>
    <row r="2389" spans="1:4" ht="12.95" customHeight="1" x14ac:dyDescent="0.25">
      <c r="A2389" s="2" t="s">
        <v>401</v>
      </c>
      <c r="B2389" s="2" t="s">
        <v>1007</v>
      </c>
      <c r="C2389" s="5" t="s">
        <v>3893</v>
      </c>
      <c r="D2389" s="2" t="s">
        <v>3894</v>
      </c>
    </row>
    <row r="2390" spans="1:4" ht="12.95" customHeight="1" x14ac:dyDescent="0.25">
      <c r="A2390" s="2" t="s">
        <v>401</v>
      </c>
      <c r="B2390" s="2" t="s">
        <v>1007</v>
      </c>
      <c r="C2390" s="5" t="s">
        <v>3895</v>
      </c>
      <c r="D2390" s="2" t="s">
        <v>3896</v>
      </c>
    </row>
    <row r="2391" spans="1:4" ht="12.95" customHeight="1" x14ac:dyDescent="0.25">
      <c r="A2391" s="2" t="s">
        <v>401</v>
      </c>
      <c r="B2391" s="2" t="s">
        <v>1007</v>
      </c>
      <c r="C2391" s="5" t="s">
        <v>3897</v>
      </c>
      <c r="D2391" s="2" t="s">
        <v>3898</v>
      </c>
    </row>
    <row r="2392" spans="1:4" ht="12.95" customHeight="1" x14ac:dyDescent="0.25">
      <c r="A2392" s="2" t="s">
        <v>401</v>
      </c>
      <c r="B2392" s="2" t="s">
        <v>1007</v>
      </c>
      <c r="C2392" s="5" t="s">
        <v>3899</v>
      </c>
      <c r="D2392" s="2" t="s">
        <v>3392</v>
      </c>
    </row>
    <row r="2393" spans="1:4" ht="12.95" customHeight="1" x14ac:dyDescent="0.25">
      <c r="A2393" s="2" t="s">
        <v>401</v>
      </c>
      <c r="B2393" s="2" t="s">
        <v>1007</v>
      </c>
      <c r="C2393" s="5" t="s">
        <v>3900</v>
      </c>
      <c r="D2393" s="2" t="s">
        <v>3394</v>
      </c>
    </row>
    <row r="2394" spans="1:4" ht="12.95" customHeight="1" x14ac:dyDescent="0.25">
      <c r="A2394" s="2" t="s">
        <v>401</v>
      </c>
      <c r="B2394" s="2" t="s">
        <v>1007</v>
      </c>
      <c r="C2394" s="5" t="s">
        <v>3901</v>
      </c>
      <c r="D2394" s="2" t="s">
        <v>3902</v>
      </c>
    </row>
    <row r="2395" spans="1:4" ht="12.95" customHeight="1" x14ac:dyDescent="0.25">
      <c r="A2395" s="2" t="s">
        <v>401</v>
      </c>
      <c r="B2395" s="2" t="s">
        <v>1007</v>
      </c>
      <c r="C2395" s="5" t="s">
        <v>3903</v>
      </c>
      <c r="D2395" s="2" t="s">
        <v>3904</v>
      </c>
    </row>
    <row r="2396" spans="1:4" ht="12.95" customHeight="1" x14ac:dyDescent="0.25">
      <c r="A2396" s="2" t="s">
        <v>401</v>
      </c>
      <c r="B2396" s="2" t="s">
        <v>1007</v>
      </c>
      <c r="C2396" s="5" t="s">
        <v>3905</v>
      </c>
      <c r="D2396" s="2" t="s">
        <v>3906</v>
      </c>
    </row>
    <row r="2397" spans="1:4" ht="12.95" customHeight="1" x14ac:dyDescent="0.25">
      <c r="A2397" s="2" t="s">
        <v>401</v>
      </c>
      <c r="B2397" s="2" t="s">
        <v>1007</v>
      </c>
      <c r="C2397" s="5" t="s">
        <v>3907</v>
      </c>
      <c r="D2397" s="2" t="s">
        <v>3908</v>
      </c>
    </row>
    <row r="2398" spans="1:4" ht="12.95" customHeight="1" x14ac:dyDescent="0.25">
      <c r="A2398" s="2" t="s">
        <v>401</v>
      </c>
      <c r="B2398" s="2" t="s">
        <v>1007</v>
      </c>
      <c r="C2398" s="5" t="s">
        <v>3909</v>
      </c>
      <c r="D2398" s="2" t="s">
        <v>3312</v>
      </c>
    </row>
    <row r="2399" spans="1:4" ht="12.95" customHeight="1" x14ac:dyDescent="0.25">
      <c r="A2399" s="2" t="s">
        <v>401</v>
      </c>
      <c r="B2399" s="2" t="s">
        <v>1007</v>
      </c>
      <c r="C2399" s="5" t="s">
        <v>3910</v>
      </c>
      <c r="D2399" s="2" t="s">
        <v>3314</v>
      </c>
    </row>
    <row r="2400" spans="1:4" ht="12.95" customHeight="1" x14ac:dyDescent="0.25">
      <c r="A2400" s="2" t="s">
        <v>401</v>
      </c>
      <c r="B2400" s="2" t="s">
        <v>1007</v>
      </c>
      <c r="C2400" s="5" t="s">
        <v>3911</v>
      </c>
      <c r="D2400" s="2" t="s">
        <v>3912</v>
      </c>
    </row>
    <row r="2401" spans="1:4" ht="12.95" customHeight="1" x14ac:dyDescent="0.25">
      <c r="A2401" s="2" t="s">
        <v>401</v>
      </c>
      <c r="B2401" s="2" t="s">
        <v>1007</v>
      </c>
      <c r="C2401" s="5" t="s">
        <v>3913</v>
      </c>
      <c r="D2401" s="2" t="s">
        <v>3914</v>
      </c>
    </row>
    <row r="2402" spans="1:4" ht="12.95" customHeight="1" x14ac:dyDescent="0.25">
      <c r="A2402" s="2" t="s">
        <v>401</v>
      </c>
      <c r="B2402" s="2" t="s">
        <v>1007</v>
      </c>
      <c r="C2402" s="5" t="s">
        <v>3915</v>
      </c>
      <c r="D2402" s="2" t="s">
        <v>3916</v>
      </c>
    </row>
    <row r="2403" spans="1:4" ht="12.95" customHeight="1" x14ac:dyDescent="0.25">
      <c r="A2403" s="2" t="s">
        <v>401</v>
      </c>
      <c r="B2403" s="2" t="s">
        <v>1007</v>
      </c>
      <c r="C2403" s="5" t="s">
        <v>3917</v>
      </c>
      <c r="D2403" s="2" t="s">
        <v>3918</v>
      </c>
    </row>
    <row r="2404" spans="1:4" ht="12.95" customHeight="1" x14ac:dyDescent="0.25">
      <c r="A2404" s="2" t="s">
        <v>401</v>
      </c>
      <c r="B2404" s="2" t="s">
        <v>1007</v>
      </c>
      <c r="C2404" s="5" t="s">
        <v>3919</v>
      </c>
      <c r="D2404" s="2" t="s">
        <v>3920</v>
      </c>
    </row>
    <row r="2405" spans="1:4" ht="12.95" customHeight="1" x14ac:dyDescent="0.25">
      <c r="A2405" s="2" t="s">
        <v>401</v>
      </c>
      <c r="B2405" s="2" t="s">
        <v>1007</v>
      </c>
      <c r="C2405" s="5" t="s">
        <v>3921</v>
      </c>
      <c r="D2405" s="2" t="s">
        <v>3922</v>
      </c>
    </row>
    <row r="2406" spans="1:4" ht="12.95" customHeight="1" x14ac:dyDescent="0.25">
      <c r="A2406" s="2" t="s">
        <v>401</v>
      </c>
      <c r="B2406" s="2" t="s">
        <v>1007</v>
      </c>
      <c r="C2406" s="5" t="s">
        <v>3923</v>
      </c>
      <c r="D2406" s="2" t="s">
        <v>3924</v>
      </c>
    </row>
    <row r="2407" spans="1:4" ht="12.95" customHeight="1" x14ac:dyDescent="0.25">
      <c r="A2407" s="2" t="s">
        <v>401</v>
      </c>
      <c r="B2407" s="2" t="s">
        <v>1007</v>
      </c>
      <c r="C2407" s="5" t="s">
        <v>3925</v>
      </c>
      <c r="D2407" s="2" t="s">
        <v>3926</v>
      </c>
    </row>
    <row r="2408" spans="1:4" ht="12.95" customHeight="1" x14ac:dyDescent="0.25">
      <c r="A2408" s="2" t="s">
        <v>401</v>
      </c>
      <c r="B2408" s="2" t="s">
        <v>1007</v>
      </c>
      <c r="C2408" s="5" t="s">
        <v>3927</v>
      </c>
      <c r="D2408" s="2" t="s">
        <v>3928</v>
      </c>
    </row>
    <row r="2409" spans="1:4" ht="12.95" customHeight="1" x14ac:dyDescent="0.25">
      <c r="A2409" s="2" t="s">
        <v>401</v>
      </c>
      <c r="B2409" s="2" t="s">
        <v>1007</v>
      </c>
      <c r="C2409" s="5" t="s">
        <v>3929</v>
      </c>
      <c r="D2409" s="2" t="s">
        <v>3930</v>
      </c>
    </row>
    <row r="2410" spans="1:4" ht="12.95" customHeight="1" x14ac:dyDescent="0.25">
      <c r="A2410" s="2" t="s">
        <v>401</v>
      </c>
      <c r="B2410" s="2" t="s">
        <v>1007</v>
      </c>
      <c r="C2410" s="5" t="s">
        <v>3931</v>
      </c>
      <c r="D2410" s="2" t="s">
        <v>3932</v>
      </c>
    </row>
    <row r="2411" spans="1:4" ht="12.95" customHeight="1" x14ac:dyDescent="0.25">
      <c r="A2411" s="2" t="s">
        <v>401</v>
      </c>
      <c r="B2411" s="2" t="s">
        <v>1007</v>
      </c>
      <c r="C2411" s="5" t="s">
        <v>3933</v>
      </c>
      <c r="D2411" s="2" t="s">
        <v>3934</v>
      </c>
    </row>
    <row r="2412" spans="1:4" ht="12.95" customHeight="1" x14ac:dyDescent="0.25">
      <c r="A2412" s="2" t="s">
        <v>401</v>
      </c>
      <c r="B2412" s="2" t="s">
        <v>1007</v>
      </c>
      <c r="C2412" s="5" t="s">
        <v>3935</v>
      </c>
      <c r="D2412" s="2" t="s">
        <v>3936</v>
      </c>
    </row>
    <row r="2413" spans="1:4" ht="12.95" customHeight="1" x14ac:dyDescent="0.25">
      <c r="A2413" s="2" t="s">
        <v>401</v>
      </c>
      <c r="B2413" s="2" t="s">
        <v>1007</v>
      </c>
      <c r="C2413" s="5" t="s">
        <v>3937</v>
      </c>
      <c r="D2413" s="2" t="s">
        <v>3938</v>
      </c>
    </row>
    <row r="2414" spans="1:4" ht="12.95" customHeight="1" x14ac:dyDescent="0.25">
      <c r="A2414" s="2" t="s">
        <v>401</v>
      </c>
      <c r="B2414" s="2" t="s">
        <v>1007</v>
      </c>
      <c r="C2414" s="5" t="s">
        <v>3939</v>
      </c>
      <c r="D2414" s="2" t="s">
        <v>3940</v>
      </c>
    </row>
    <row r="2415" spans="1:4" ht="12.95" customHeight="1" x14ac:dyDescent="0.25">
      <c r="A2415" s="2" t="s">
        <v>401</v>
      </c>
      <c r="B2415" s="2" t="s">
        <v>1007</v>
      </c>
      <c r="C2415" s="5" t="s">
        <v>3941</v>
      </c>
      <c r="D2415" s="2" t="s">
        <v>3942</v>
      </c>
    </row>
    <row r="2416" spans="1:4" ht="12.95" customHeight="1" x14ac:dyDescent="0.25">
      <c r="A2416" s="2" t="s">
        <v>401</v>
      </c>
      <c r="B2416" s="2" t="s">
        <v>1007</v>
      </c>
      <c r="C2416" s="5" t="s">
        <v>1657</v>
      </c>
      <c r="D2416" s="2" t="s">
        <v>3943</v>
      </c>
    </row>
    <row r="2417" spans="1:4" ht="12.95" customHeight="1" x14ac:dyDescent="0.25">
      <c r="A2417" s="2" t="s">
        <v>401</v>
      </c>
      <c r="B2417" s="2" t="s">
        <v>1007</v>
      </c>
      <c r="C2417" s="5" t="s">
        <v>3944</v>
      </c>
      <c r="D2417" s="2" t="s">
        <v>3945</v>
      </c>
    </row>
    <row r="2418" spans="1:4" ht="12.95" customHeight="1" x14ac:dyDescent="0.25">
      <c r="A2418" s="2" t="s">
        <v>401</v>
      </c>
      <c r="B2418" s="2" t="s">
        <v>1007</v>
      </c>
      <c r="C2418" s="5" t="s">
        <v>3946</v>
      </c>
      <c r="D2418" s="2" t="s">
        <v>3947</v>
      </c>
    </row>
    <row r="2419" spans="1:4" ht="12.95" customHeight="1" x14ac:dyDescent="0.25">
      <c r="A2419" s="2" t="s">
        <v>401</v>
      </c>
      <c r="B2419" s="2" t="s">
        <v>1007</v>
      </c>
      <c r="C2419" s="5" t="s">
        <v>3948</v>
      </c>
      <c r="D2419" s="2" t="s">
        <v>3949</v>
      </c>
    </row>
    <row r="2420" spans="1:4" ht="12.95" customHeight="1" x14ac:dyDescent="0.25">
      <c r="A2420" s="2" t="s">
        <v>401</v>
      </c>
      <c r="B2420" s="2" t="s">
        <v>1007</v>
      </c>
      <c r="C2420" s="5" t="s">
        <v>3950</v>
      </c>
      <c r="D2420" s="2" t="s">
        <v>3951</v>
      </c>
    </row>
    <row r="2421" spans="1:4" ht="12.95" customHeight="1" x14ac:dyDescent="0.25">
      <c r="A2421" s="2" t="s">
        <v>401</v>
      </c>
      <c r="B2421" s="2" t="s">
        <v>1007</v>
      </c>
      <c r="C2421" s="5" t="s">
        <v>3952</v>
      </c>
      <c r="D2421" s="2" t="s">
        <v>3953</v>
      </c>
    </row>
    <row r="2422" spans="1:4" ht="12.95" customHeight="1" x14ac:dyDescent="0.25">
      <c r="A2422" s="2" t="s">
        <v>401</v>
      </c>
      <c r="B2422" s="2" t="s">
        <v>1007</v>
      </c>
      <c r="C2422" s="5" t="s">
        <v>3954</v>
      </c>
      <c r="D2422" s="2" t="s">
        <v>3955</v>
      </c>
    </row>
    <row r="2423" spans="1:4" ht="12.95" customHeight="1" x14ac:dyDescent="0.25">
      <c r="A2423" s="2" t="s">
        <v>401</v>
      </c>
      <c r="B2423" s="2" t="s">
        <v>1007</v>
      </c>
      <c r="C2423" s="5" t="s">
        <v>3956</v>
      </c>
      <c r="D2423" s="2" t="s">
        <v>3957</v>
      </c>
    </row>
    <row r="2424" spans="1:4" ht="12.95" customHeight="1" x14ac:dyDescent="0.25">
      <c r="A2424" s="2" t="s">
        <v>401</v>
      </c>
      <c r="B2424" s="2" t="s">
        <v>1007</v>
      </c>
      <c r="C2424" s="5" t="s">
        <v>3958</v>
      </c>
      <c r="D2424" s="2" t="s">
        <v>3959</v>
      </c>
    </row>
    <row r="2425" spans="1:4" ht="12.95" customHeight="1" x14ac:dyDescent="0.25">
      <c r="A2425" s="2" t="s">
        <v>401</v>
      </c>
      <c r="B2425" s="2" t="s">
        <v>1007</v>
      </c>
      <c r="C2425" s="5" t="s">
        <v>3960</v>
      </c>
      <c r="D2425" s="2" t="s">
        <v>3961</v>
      </c>
    </row>
    <row r="2426" spans="1:4" ht="12.95" customHeight="1" x14ac:dyDescent="0.25">
      <c r="A2426" s="2" t="s">
        <v>401</v>
      </c>
      <c r="B2426" s="2" t="s">
        <v>1007</v>
      </c>
      <c r="C2426" s="5" t="s">
        <v>3962</v>
      </c>
      <c r="D2426" s="2" t="s">
        <v>3963</v>
      </c>
    </row>
    <row r="2427" spans="1:4" ht="12.95" customHeight="1" x14ac:dyDescent="0.25">
      <c r="A2427" s="2" t="s">
        <v>401</v>
      </c>
      <c r="B2427" s="2" t="s">
        <v>1007</v>
      </c>
      <c r="C2427" s="5" t="s">
        <v>3964</v>
      </c>
      <c r="D2427" s="2" t="s">
        <v>3965</v>
      </c>
    </row>
    <row r="2428" spans="1:4" ht="12.95" customHeight="1" x14ac:dyDescent="0.25">
      <c r="A2428" s="2" t="s">
        <v>401</v>
      </c>
      <c r="B2428" s="2" t="s">
        <v>1007</v>
      </c>
      <c r="C2428" s="5" t="s">
        <v>3966</v>
      </c>
      <c r="D2428" s="2" t="s">
        <v>3967</v>
      </c>
    </row>
    <row r="2429" spans="1:4" ht="12.95" customHeight="1" x14ac:dyDescent="0.25">
      <c r="A2429" s="2" t="s">
        <v>401</v>
      </c>
      <c r="B2429" s="2" t="s">
        <v>1007</v>
      </c>
      <c r="C2429" s="5" t="s">
        <v>3968</v>
      </c>
      <c r="D2429" s="2" t="s">
        <v>3969</v>
      </c>
    </row>
    <row r="2430" spans="1:4" ht="12.95" customHeight="1" x14ac:dyDescent="0.25">
      <c r="A2430" s="2" t="s">
        <v>401</v>
      </c>
      <c r="B2430" s="2" t="s">
        <v>1007</v>
      </c>
      <c r="C2430" s="5" t="s">
        <v>3970</v>
      </c>
      <c r="D2430" s="2" t="s">
        <v>3971</v>
      </c>
    </row>
    <row r="2431" spans="1:4" ht="12.95" customHeight="1" x14ac:dyDescent="0.25">
      <c r="A2431" s="2" t="s">
        <v>401</v>
      </c>
      <c r="B2431" s="2" t="s">
        <v>1007</v>
      </c>
      <c r="C2431" s="5" t="s">
        <v>3972</v>
      </c>
      <c r="D2431" s="2" t="s">
        <v>3973</v>
      </c>
    </row>
    <row r="2432" spans="1:4" ht="12.95" customHeight="1" x14ac:dyDescent="0.25">
      <c r="A2432" s="2" t="s">
        <v>401</v>
      </c>
      <c r="B2432" s="2" t="s">
        <v>1007</v>
      </c>
      <c r="C2432" s="5" t="s">
        <v>3974</v>
      </c>
      <c r="D2432" s="2" t="s">
        <v>3975</v>
      </c>
    </row>
    <row r="2433" spans="1:4" ht="12.95" customHeight="1" x14ac:dyDescent="0.25">
      <c r="A2433" s="2" t="s">
        <v>401</v>
      </c>
      <c r="B2433" s="2" t="s">
        <v>1007</v>
      </c>
      <c r="C2433" s="5" t="s">
        <v>3976</v>
      </c>
      <c r="D2433" s="2" t="s">
        <v>3977</v>
      </c>
    </row>
    <row r="2434" spans="1:4" ht="12.95" customHeight="1" x14ac:dyDescent="0.25">
      <c r="A2434" s="2" t="s">
        <v>401</v>
      </c>
      <c r="B2434" s="2" t="s">
        <v>1007</v>
      </c>
      <c r="C2434" s="5" t="s">
        <v>3978</v>
      </c>
      <c r="D2434" s="2" t="s">
        <v>3979</v>
      </c>
    </row>
    <row r="2435" spans="1:4" ht="12.95" customHeight="1" x14ac:dyDescent="0.25">
      <c r="A2435" s="2" t="s">
        <v>401</v>
      </c>
      <c r="B2435" s="2" t="s">
        <v>1007</v>
      </c>
      <c r="C2435" s="5" t="s">
        <v>3980</v>
      </c>
      <c r="D2435" s="2" t="s">
        <v>3280</v>
      </c>
    </row>
    <row r="2436" spans="1:4" ht="12.95" customHeight="1" x14ac:dyDescent="0.25">
      <c r="A2436" s="2" t="s">
        <v>401</v>
      </c>
      <c r="B2436" s="2" t="s">
        <v>1007</v>
      </c>
      <c r="C2436" s="5" t="s">
        <v>3981</v>
      </c>
      <c r="D2436" s="2" t="s">
        <v>3394</v>
      </c>
    </row>
    <row r="2437" spans="1:4" ht="12.95" customHeight="1" x14ac:dyDescent="0.25">
      <c r="A2437" s="2" t="s">
        <v>401</v>
      </c>
      <c r="B2437" s="2" t="s">
        <v>1007</v>
      </c>
      <c r="C2437" s="5" t="s">
        <v>3982</v>
      </c>
      <c r="D2437" s="2" t="s">
        <v>3983</v>
      </c>
    </row>
    <row r="2438" spans="1:4" ht="12.95" customHeight="1" x14ac:dyDescent="0.25">
      <c r="A2438" s="2" t="s">
        <v>401</v>
      </c>
      <c r="B2438" s="2" t="s">
        <v>1007</v>
      </c>
      <c r="C2438" s="5" t="s">
        <v>3984</v>
      </c>
      <c r="D2438" s="2" t="s">
        <v>3985</v>
      </c>
    </row>
    <row r="2439" spans="1:4" ht="12.95" customHeight="1" x14ac:dyDescent="0.25">
      <c r="A2439" s="2" t="s">
        <v>401</v>
      </c>
      <c r="B2439" s="2" t="s">
        <v>1007</v>
      </c>
      <c r="C2439" s="5" t="s">
        <v>3986</v>
      </c>
      <c r="D2439" s="2" t="s">
        <v>3987</v>
      </c>
    </row>
    <row r="2440" spans="1:4" ht="12.95" customHeight="1" x14ac:dyDescent="0.25">
      <c r="A2440" s="2" t="s">
        <v>401</v>
      </c>
      <c r="B2440" s="2" t="s">
        <v>1007</v>
      </c>
      <c r="C2440" s="5" t="s">
        <v>3988</v>
      </c>
      <c r="D2440" s="2" t="s">
        <v>3989</v>
      </c>
    </row>
    <row r="2441" spans="1:4" ht="12.95" customHeight="1" x14ac:dyDescent="0.25">
      <c r="A2441" s="2" t="s">
        <v>401</v>
      </c>
      <c r="B2441" s="2" t="s">
        <v>1007</v>
      </c>
      <c r="C2441" s="5" t="s">
        <v>3990</v>
      </c>
      <c r="D2441" s="2" t="s">
        <v>3991</v>
      </c>
    </row>
    <row r="2442" spans="1:4" ht="12.95" customHeight="1" x14ac:dyDescent="0.25">
      <c r="A2442" s="2" t="s">
        <v>401</v>
      </c>
      <c r="B2442" s="2" t="s">
        <v>1007</v>
      </c>
      <c r="C2442" s="5" t="s">
        <v>3992</v>
      </c>
      <c r="D2442" s="2" t="s">
        <v>3993</v>
      </c>
    </row>
    <row r="2443" spans="1:4" ht="12.95" customHeight="1" x14ac:dyDescent="0.25">
      <c r="A2443" s="2" t="s">
        <v>401</v>
      </c>
      <c r="B2443" s="2" t="s">
        <v>1007</v>
      </c>
      <c r="C2443" s="5" t="s">
        <v>3994</v>
      </c>
      <c r="D2443" s="2" t="s">
        <v>3995</v>
      </c>
    </row>
    <row r="2444" spans="1:4" ht="12.95" customHeight="1" x14ac:dyDescent="0.25">
      <c r="A2444" s="2" t="s">
        <v>401</v>
      </c>
      <c r="B2444" s="2" t="s">
        <v>1007</v>
      </c>
      <c r="C2444" s="5" t="s">
        <v>3996</v>
      </c>
      <c r="D2444" s="2" t="s">
        <v>3997</v>
      </c>
    </row>
    <row r="2445" spans="1:4" ht="12.95" customHeight="1" x14ac:dyDescent="0.25">
      <c r="A2445" s="2" t="s">
        <v>401</v>
      </c>
      <c r="B2445" s="2" t="s">
        <v>1007</v>
      </c>
      <c r="C2445" s="5" t="s">
        <v>3998</v>
      </c>
      <c r="D2445" s="2" t="s">
        <v>3999</v>
      </c>
    </row>
    <row r="2446" spans="1:4" ht="12.95" customHeight="1" x14ac:dyDescent="0.25">
      <c r="A2446" s="2" t="s">
        <v>401</v>
      </c>
      <c r="B2446" s="2" t="s">
        <v>1007</v>
      </c>
      <c r="C2446" s="5" t="s">
        <v>4000</v>
      </c>
      <c r="D2446" s="2" t="s">
        <v>4001</v>
      </c>
    </row>
    <row r="2447" spans="1:4" ht="12.95" customHeight="1" x14ac:dyDescent="0.25">
      <c r="A2447" s="2" t="s">
        <v>401</v>
      </c>
      <c r="B2447" s="2" t="s">
        <v>1007</v>
      </c>
      <c r="C2447" s="5" t="s">
        <v>4002</v>
      </c>
      <c r="D2447" s="2" t="s">
        <v>4003</v>
      </c>
    </row>
    <row r="2448" spans="1:4" ht="12.95" customHeight="1" x14ac:dyDescent="0.25">
      <c r="A2448" s="2" t="s">
        <v>401</v>
      </c>
      <c r="B2448" s="2" t="s">
        <v>1007</v>
      </c>
      <c r="C2448" s="5" t="s">
        <v>4004</v>
      </c>
      <c r="D2448" s="2" t="s">
        <v>4005</v>
      </c>
    </row>
    <row r="2449" spans="1:4" ht="12.95" customHeight="1" x14ac:dyDescent="0.25">
      <c r="A2449" s="2" t="s">
        <v>401</v>
      </c>
      <c r="B2449" s="2" t="s">
        <v>1007</v>
      </c>
      <c r="C2449" s="5" t="s">
        <v>4006</v>
      </c>
      <c r="D2449" s="2" t="s">
        <v>4007</v>
      </c>
    </row>
    <row r="2450" spans="1:4" ht="12.95" customHeight="1" x14ac:dyDescent="0.25">
      <c r="A2450" s="2" t="s">
        <v>401</v>
      </c>
      <c r="B2450" s="2" t="s">
        <v>1007</v>
      </c>
      <c r="C2450" s="5" t="s">
        <v>4008</v>
      </c>
      <c r="D2450" s="2" t="s">
        <v>4009</v>
      </c>
    </row>
    <row r="2451" spans="1:4" ht="12.95" customHeight="1" x14ac:dyDescent="0.25">
      <c r="A2451" s="2" t="s">
        <v>401</v>
      </c>
      <c r="B2451" s="2" t="s">
        <v>1007</v>
      </c>
      <c r="C2451" s="5" t="s">
        <v>4010</v>
      </c>
      <c r="D2451" s="2" t="s">
        <v>4011</v>
      </c>
    </row>
    <row r="2452" spans="1:4" ht="12.95" customHeight="1" x14ac:dyDescent="0.25">
      <c r="A2452" s="2" t="s">
        <v>401</v>
      </c>
      <c r="B2452" s="2" t="s">
        <v>1007</v>
      </c>
      <c r="C2452" s="5" t="s">
        <v>4012</v>
      </c>
      <c r="D2452" s="2" t="s">
        <v>4013</v>
      </c>
    </row>
    <row r="2453" spans="1:4" ht="12.95" customHeight="1" x14ac:dyDescent="0.25">
      <c r="A2453" s="2" t="s">
        <v>401</v>
      </c>
      <c r="B2453" s="2" t="s">
        <v>1007</v>
      </c>
      <c r="C2453" s="5" t="s">
        <v>4014</v>
      </c>
      <c r="D2453" s="2" t="s">
        <v>4015</v>
      </c>
    </row>
    <row r="2454" spans="1:4" ht="12.95" customHeight="1" x14ac:dyDescent="0.25">
      <c r="A2454" s="2" t="s">
        <v>401</v>
      </c>
      <c r="B2454" s="2" t="s">
        <v>1007</v>
      </c>
      <c r="C2454" s="5" t="s">
        <v>4016</v>
      </c>
      <c r="D2454" s="2" t="s">
        <v>4017</v>
      </c>
    </row>
    <row r="2455" spans="1:4" ht="12.95" customHeight="1" x14ac:dyDescent="0.25">
      <c r="A2455" s="2" t="s">
        <v>401</v>
      </c>
      <c r="B2455" s="2" t="s">
        <v>1007</v>
      </c>
      <c r="C2455" s="5" t="s">
        <v>4018</v>
      </c>
      <c r="D2455" s="2" t="s">
        <v>4019</v>
      </c>
    </row>
    <row r="2456" spans="1:4" ht="12.95" customHeight="1" x14ac:dyDescent="0.25">
      <c r="A2456" s="2" t="s">
        <v>401</v>
      </c>
      <c r="B2456" s="2" t="s">
        <v>1007</v>
      </c>
      <c r="C2456" s="5" t="s">
        <v>4020</v>
      </c>
      <c r="D2456" s="2" t="s">
        <v>4021</v>
      </c>
    </row>
    <row r="2457" spans="1:4" ht="12.95" customHeight="1" x14ac:dyDescent="0.25">
      <c r="A2457" s="2" t="s">
        <v>401</v>
      </c>
      <c r="B2457" s="2" t="s">
        <v>1007</v>
      </c>
      <c r="C2457" s="5" t="s">
        <v>4022</v>
      </c>
      <c r="D2457" s="2" t="s">
        <v>3038</v>
      </c>
    </row>
    <row r="2458" spans="1:4" ht="12.95" customHeight="1" x14ac:dyDescent="0.25">
      <c r="A2458" s="2" t="s">
        <v>401</v>
      </c>
      <c r="B2458" s="2" t="s">
        <v>1007</v>
      </c>
      <c r="C2458" s="5" t="s">
        <v>4023</v>
      </c>
      <c r="D2458" s="2" t="s">
        <v>4024</v>
      </c>
    </row>
    <row r="2459" spans="1:4" ht="12.95" customHeight="1" x14ac:dyDescent="0.25">
      <c r="A2459" s="2" t="s">
        <v>401</v>
      </c>
      <c r="B2459" s="2" t="s">
        <v>1007</v>
      </c>
      <c r="C2459" s="5" t="s">
        <v>4025</v>
      </c>
      <c r="D2459" s="2" t="s">
        <v>4026</v>
      </c>
    </row>
    <row r="2460" spans="1:4" ht="12.95" customHeight="1" x14ac:dyDescent="0.25">
      <c r="A2460" s="2" t="s">
        <v>401</v>
      </c>
      <c r="B2460" s="2" t="s">
        <v>1007</v>
      </c>
      <c r="C2460" s="5" t="s">
        <v>4027</v>
      </c>
      <c r="D2460" s="2" t="s">
        <v>3334</v>
      </c>
    </row>
    <row r="2461" spans="1:4" ht="12.95" customHeight="1" x14ac:dyDescent="0.25">
      <c r="A2461" s="2" t="s">
        <v>401</v>
      </c>
      <c r="B2461" s="2" t="s">
        <v>1007</v>
      </c>
      <c r="C2461" s="5" t="s">
        <v>4028</v>
      </c>
      <c r="D2461" s="2" t="s">
        <v>3336</v>
      </c>
    </row>
    <row r="2462" spans="1:4" ht="12.95" customHeight="1" x14ac:dyDescent="0.25">
      <c r="A2462" s="2" t="s">
        <v>401</v>
      </c>
      <c r="B2462" s="2" t="s">
        <v>1007</v>
      </c>
      <c r="C2462" s="5" t="s">
        <v>4029</v>
      </c>
      <c r="D2462" s="2" t="s">
        <v>3511</v>
      </c>
    </row>
    <row r="2463" spans="1:4" ht="12.95" customHeight="1" x14ac:dyDescent="0.25">
      <c r="A2463" s="2" t="s">
        <v>401</v>
      </c>
      <c r="B2463" s="2" t="s">
        <v>1007</v>
      </c>
      <c r="C2463" s="5" t="s">
        <v>4030</v>
      </c>
      <c r="D2463" s="2" t="s">
        <v>3513</v>
      </c>
    </row>
    <row r="2464" spans="1:4" ht="12.95" customHeight="1" x14ac:dyDescent="0.25">
      <c r="A2464" s="2" t="s">
        <v>401</v>
      </c>
      <c r="B2464" s="2" t="s">
        <v>1007</v>
      </c>
      <c r="C2464" s="5" t="s">
        <v>4031</v>
      </c>
      <c r="D2464" s="2" t="s">
        <v>3515</v>
      </c>
    </row>
    <row r="2465" spans="1:4" ht="12.95" customHeight="1" x14ac:dyDescent="0.25">
      <c r="A2465" s="2" t="s">
        <v>401</v>
      </c>
      <c r="B2465" s="2" t="s">
        <v>1007</v>
      </c>
      <c r="C2465" s="5" t="s">
        <v>4032</v>
      </c>
      <c r="D2465" s="2" t="s">
        <v>3517</v>
      </c>
    </row>
    <row r="2466" spans="1:4" ht="12.95" customHeight="1" x14ac:dyDescent="0.25">
      <c r="A2466" s="2" t="s">
        <v>401</v>
      </c>
      <c r="B2466" s="2" t="s">
        <v>1007</v>
      </c>
      <c r="C2466" s="5" t="s">
        <v>4033</v>
      </c>
      <c r="D2466" s="2" t="s">
        <v>3519</v>
      </c>
    </row>
    <row r="2467" spans="1:4" ht="12.95" customHeight="1" x14ac:dyDescent="0.25">
      <c r="A2467" s="2" t="s">
        <v>401</v>
      </c>
      <c r="B2467" s="2" t="s">
        <v>1007</v>
      </c>
      <c r="C2467" s="5" t="s">
        <v>4034</v>
      </c>
      <c r="D2467" s="2" t="s">
        <v>3521</v>
      </c>
    </row>
    <row r="2468" spans="1:4" ht="12.95" customHeight="1" x14ac:dyDescent="0.25">
      <c r="A2468" s="2" t="s">
        <v>401</v>
      </c>
      <c r="B2468" s="2" t="s">
        <v>1007</v>
      </c>
      <c r="C2468" s="5" t="s">
        <v>4035</v>
      </c>
      <c r="D2468" s="2" t="s">
        <v>3712</v>
      </c>
    </row>
    <row r="2469" spans="1:4" ht="12.95" customHeight="1" x14ac:dyDescent="0.25">
      <c r="A2469" s="2" t="s">
        <v>401</v>
      </c>
      <c r="B2469" s="2" t="s">
        <v>1007</v>
      </c>
      <c r="C2469" s="5" t="s">
        <v>4036</v>
      </c>
      <c r="D2469" s="2" t="s">
        <v>3525</v>
      </c>
    </row>
    <row r="2470" spans="1:4" ht="12.95" customHeight="1" x14ac:dyDescent="0.25">
      <c r="A2470" s="2" t="s">
        <v>401</v>
      </c>
      <c r="B2470" s="2" t="s">
        <v>1007</v>
      </c>
      <c r="C2470" s="5" t="s">
        <v>4037</v>
      </c>
      <c r="D2470" s="2" t="s">
        <v>3340</v>
      </c>
    </row>
    <row r="2471" spans="1:4" ht="12.95" customHeight="1" x14ac:dyDescent="0.25">
      <c r="A2471" s="2" t="s">
        <v>401</v>
      </c>
      <c r="B2471" s="2" t="s">
        <v>1007</v>
      </c>
      <c r="C2471" s="5" t="s">
        <v>4038</v>
      </c>
      <c r="D2471" s="2" t="s">
        <v>3528</v>
      </c>
    </row>
    <row r="2472" spans="1:4" ht="12.95" customHeight="1" x14ac:dyDescent="0.25">
      <c r="A2472" s="2" t="s">
        <v>401</v>
      </c>
      <c r="B2472" s="2" t="s">
        <v>1007</v>
      </c>
      <c r="C2472" s="5" t="s">
        <v>4039</v>
      </c>
      <c r="D2472" s="2" t="s">
        <v>3717</v>
      </c>
    </row>
    <row r="2473" spans="1:4" ht="12.95" customHeight="1" x14ac:dyDescent="0.25">
      <c r="A2473" s="2" t="s">
        <v>401</v>
      </c>
      <c r="B2473" s="2" t="s">
        <v>1007</v>
      </c>
      <c r="C2473" s="5" t="s">
        <v>4040</v>
      </c>
      <c r="D2473" s="2" t="s">
        <v>3531</v>
      </c>
    </row>
    <row r="2474" spans="1:4" ht="12.95" customHeight="1" x14ac:dyDescent="0.25">
      <c r="A2474" s="2" t="s">
        <v>401</v>
      </c>
      <c r="B2474" s="2" t="s">
        <v>1007</v>
      </c>
      <c r="C2474" s="5" t="s">
        <v>4041</v>
      </c>
      <c r="D2474" s="2" t="s">
        <v>3533</v>
      </c>
    </row>
    <row r="2475" spans="1:4" ht="12.95" customHeight="1" x14ac:dyDescent="0.25">
      <c r="A2475" s="2" t="s">
        <v>401</v>
      </c>
      <c r="B2475" s="2" t="s">
        <v>1007</v>
      </c>
      <c r="C2475" s="5" t="s">
        <v>4042</v>
      </c>
      <c r="D2475" s="2" t="s">
        <v>4043</v>
      </c>
    </row>
    <row r="2476" spans="1:4" ht="12.95" customHeight="1" x14ac:dyDescent="0.25">
      <c r="A2476" s="2" t="s">
        <v>401</v>
      </c>
      <c r="B2476" s="2" t="s">
        <v>1007</v>
      </c>
      <c r="C2476" s="5" t="s">
        <v>4044</v>
      </c>
      <c r="D2476" s="2" t="s">
        <v>4045</v>
      </c>
    </row>
    <row r="2477" spans="1:4" ht="12.95" customHeight="1" x14ac:dyDescent="0.25">
      <c r="A2477" s="2" t="s">
        <v>401</v>
      </c>
      <c r="B2477" s="2" t="s">
        <v>1007</v>
      </c>
      <c r="C2477" s="5" t="s">
        <v>4046</v>
      </c>
      <c r="D2477" s="2" t="s">
        <v>4047</v>
      </c>
    </row>
    <row r="2478" spans="1:4" ht="12.95" customHeight="1" x14ac:dyDescent="0.25">
      <c r="A2478" s="2" t="s">
        <v>401</v>
      </c>
      <c r="B2478" s="2" t="s">
        <v>1007</v>
      </c>
      <c r="C2478" s="5" t="s">
        <v>4048</v>
      </c>
      <c r="D2478" s="2" t="s">
        <v>4049</v>
      </c>
    </row>
    <row r="2479" spans="1:4" ht="12.95" customHeight="1" x14ac:dyDescent="0.25">
      <c r="A2479" s="2" t="s">
        <v>401</v>
      </c>
      <c r="B2479" s="2" t="s">
        <v>1007</v>
      </c>
      <c r="C2479" s="5" t="s">
        <v>4050</v>
      </c>
      <c r="D2479" s="2" t="s">
        <v>4051</v>
      </c>
    </row>
    <row r="2480" spans="1:4" ht="12.95" customHeight="1" x14ac:dyDescent="0.25">
      <c r="A2480" s="2" t="s">
        <v>401</v>
      </c>
      <c r="B2480" s="2" t="s">
        <v>1007</v>
      </c>
      <c r="C2480" s="5" t="s">
        <v>4052</v>
      </c>
      <c r="D2480" s="2" t="s">
        <v>3874</v>
      </c>
    </row>
    <row r="2481" spans="1:4" ht="12.95" customHeight="1" x14ac:dyDescent="0.25">
      <c r="A2481" s="2" t="s">
        <v>401</v>
      </c>
      <c r="B2481" s="2" t="s">
        <v>1007</v>
      </c>
      <c r="C2481" s="5" t="s">
        <v>4053</v>
      </c>
      <c r="D2481" s="2" t="s">
        <v>4054</v>
      </c>
    </row>
    <row r="2482" spans="1:4" ht="12.95" customHeight="1" x14ac:dyDescent="0.25">
      <c r="A2482" s="2" t="s">
        <v>401</v>
      </c>
      <c r="B2482" s="2" t="s">
        <v>1007</v>
      </c>
      <c r="C2482" s="5" t="s">
        <v>4055</v>
      </c>
      <c r="D2482" s="2" t="s">
        <v>4056</v>
      </c>
    </row>
    <row r="2483" spans="1:4" ht="12.95" customHeight="1" x14ac:dyDescent="0.25">
      <c r="A2483" s="2" t="s">
        <v>401</v>
      </c>
      <c r="B2483" s="2" t="s">
        <v>1007</v>
      </c>
      <c r="C2483" s="5" t="s">
        <v>4057</v>
      </c>
      <c r="D2483" s="2" t="s">
        <v>4058</v>
      </c>
    </row>
    <row r="2484" spans="1:4" ht="12.95" customHeight="1" x14ac:dyDescent="0.25">
      <c r="A2484" s="2" t="s">
        <v>401</v>
      </c>
      <c r="B2484" s="2" t="s">
        <v>1007</v>
      </c>
      <c r="C2484" s="5" t="s">
        <v>4059</v>
      </c>
      <c r="D2484" s="2" t="s">
        <v>4060</v>
      </c>
    </row>
    <row r="2485" spans="1:4" ht="12.95" customHeight="1" x14ac:dyDescent="0.25">
      <c r="A2485" s="2" t="s">
        <v>401</v>
      </c>
      <c r="B2485" s="2" t="s">
        <v>1007</v>
      </c>
      <c r="C2485" s="5" t="s">
        <v>4061</v>
      </c>
      <c r="D2485" s="2" t="s">
        <v>4062</v>
      </c>
    </row>
    <row r="2486" spans="1:4" ht="12.95" customHeight="1" x14ac:dyDescent="0.25">
      <c r="A2486" s="2" t="s">
        <v>401</v>
      </c>
      <c r="B2486" s="2" t="s">
        <v>1007</v>
      </c>
      <c r="C2486" s="5" t="s">
        <v>1703</v>
      </c>
      <c r="D2486" s="2" t="s">
        <v>4063</v>
      </c>
    </row>
    <row r="2487" spans="1:4" ht="12.95" customHeight="1" x14ac:dyDescent="0.25">
      <c r="A2487" s="2" t="s">
        <v>401</v>
      </c>
      <c r="B2487" s="2" t="s">
        <v>1007</v>
      </c>
      <c r="C2487" s="5" t="s">
        <v>4064</v>
      </c>
      <c r="D2487" s="2" t="s">
        <v>4065</v>
      </c>
    </row>
    <row r="2488" spans="1:4" ht="12.95" customHeight="1" x14ac:dyDescent="0.25">
      <c r="A2488" s="2" t="s">
        <v>401</v>
      </c>
      <c r="B2488" s="2" t="s">
        <v>1007</v>
      </c>
      <c r="C2488" s="5" t="s">
        <v>4066</v>
      </c>
      <c r="D2488" s="2" t="s">
        <v>4067</v>
      </c>
    </row>
    <row r="2489" spans="1:4" ht="12.95" customHeight="1" x14ac:dyDescent="0.25">
      <c r="A2489" s="2" t="s">
        <v>401</v>
      </c>
      <c r="B2489" s="2" t="s">
        <v>1007</v>
      </c>
      <c r="C2489" s="5" t="s">
        <v>4068</v>
      </c>
      <c r="D2489" s="2" t="s">
        <v>4069</v>
      </c>
    </row>
    <row r="2490" spans="1:4" ht="12.95" customHeight="1" x14ac:dyDescent="0.25">
      <c r="A2490" s="2" t="s">
        <v>401</v>
      </c>
      <c r="B2490" s="2" t="s">
        <v>1007</v>
      </c>
      <c r="C2490" s="5" t="s">
        <v>4070</v>
      </c>
      <c r="D2490" s="2" t="s">
        <v>3392</v>
      </c>
    </row>
    <row r="2491" spans="1:4" ht="12.95" customHeight="1" x14ac:dyDescent="0.25">
      <c r="A2491" s="2" t="s">
        <v>401</v>
      </c>
      <c r="B2491" s="2" t="s">
        <v>1007</v>
      </c>
      <c r="C2491" s="5" t="s">
        <v>4071</v>
      </c>
      <c r="D2491" s="2" t="s">
        <v>3394</v>
      </c>
    </row>
    <row r="2492" spans="1:4" ht="12.95" customHeight="1" x14ac:dyDescent="0.25">
      <c r="A2492" s="2" t="s">
        <v>401</v>
      </c>
      <c r="B2492" s="2" t="s">
        <v>1007</v>
      </c>
      <c r="C2492" s="5" t="s">
        <v>4072</v>
      </c>
      <c r="D2492" s="2" t="s">
        <v>4073</v>
      </c>
    </row>
    <row r="2493" spans="1:4" ht="12.95" customHeight="1" x14ac:dyDescent="0.25">
      <c r="A2493" s="2" t="s">
        <v>401</v>
      </c>
      <c r="B2493" s="2" t="s">
        <v>1007</v>
      </c>
      <c r="C2493" s="5" t="s">
        <v>4074</v>
      </c>
      <c r="D2493" s="2" t="s">
        <v>4075</v>
      </c>
    </row>
    <row r="2494" spans="1:4" ht="12.95" customHeight="1" x14ac:dyDescent="0.25">
      <c r="A2494" s="2" t="s">
        <v>401</v>
      </c>
      <c r="B2494" s="2" t="s">
        <v>1007</v>
      </c>
      <c r="C2494" s="5" t="s">
        <v>4076</v>
      </c>
      <c r="D2494" s="2" t="s">
        <v>3314</v>
      </c>
    </row>
    <row r="2495" spans="1:4" ht="12.95" customHeight="1" x14ac:dyDescent="0.25">
      <c r="A2495" s="2" t="s">
        <v>401</v>
      </c>
      <c r="B2495" s="2" t="s">
        <v>1007</v>
      </c>
      <c r="C2495" s="5" t="s">
        <v>4077</v>
      </c>
      <c r="D2495" s="2" t="s">
        <v>4078</v>
      </c>
    </row>
    <row r="2496" spans="1:4" ht="12.95" customHeight="1" x14ac:dyDescent="0.25">
      <c r="A2496" s="2" t="s">
        <v>401</v>
      </c>
      <c r="B2496" s="2" t="s">
        <v>1007</v>
      </c>
      <c r="C2496" s="5" t="s">
        <v>4079</v>
      </c>
      <c r="D2496" s="2" t="s">
        <v>4080</v>
      </c>
    </row>
    <row r="2497" spans="1:4" ht="12.95" customHeight="1" x14ac:dyDescent="0.25">
      <c r="A2497" s="2" t="s">
        <v>401</v>
      </c>
      <c r="B2497" s="2" t="s">
        <v>1007</v>
      </c>
      <c r="C2497" s="5" t="s">
        <v>4081</v>
      </c>
      <c r="D2497" s="2" t="s">
        <v>4082</v>
      </c>
    </row>
    <row r="2498" spans="1:4" ht="12.95" customHeight="1" x14ac:dyDescent="0.25">
      <c r="A2498" s="2" t="s">
        <v>401</v>
      </c>
      <c r="B2498" s="2" t="s">
        <v>1007</v>
      </c>
      <c r="C2498" s="5" t="s">
        <v>4083</v>
      </c>
      <c r="D2498" s="2" t="s">
        <v>4084</v>
      </c>
    </row>
    <row r="2499" spans="1:4" ht="12.95" customHeight="1" x14ac:dyDescent="0.25">
      <c r="A2499" s="2" t="s">
        <v>401</v>
      </c>
      <c r="B2499" s="2" t="s">
        <v>1007</v>
      </c>
      <c r="C2499" s="5" t="s">
        <v>4085</v>
      </c>
      <c r="D2499" s="2" t="s">
        <v>4086</v>
      </c>
    </row>
    <row r="2500" spans="1:4" ht="12.95" customHeight="1" x14ac:dyDescent="0.25">
      <c r="A2500" s="2" t="s">
        <v>401</v>
      </c>
      <c r="B2500" s="2" t="s">
        <v>1007</v>
      </c>
      <c r="C2500" s="5" t="s">
        <v>4087</v>
      </c>
      <c r="D2500" s="2" t="s">
        <v>4088</v>
      </c>
    </row>
    <row r="2501" spans="1:4" ht="12.95" customHeight="1" x14ac:dyDescent="0.25">
      <c r="A2501" s="2" t="s">
        <v>401</v>
      </c>
      <c r="B2501" s="2" t="s">
        <v>1007</v>
      </c>
      <c r="C2501" s="5" t="s">
        <v>4089</v>
      </c>
      <c r="D2501" s="2" t="s">
        <v>4090</v>
      </c>
    </row>
    <row r="2502" spans="1:4" ht="12.95" customHeight="1" x14ac:dyDescent="0.25">
      <c r="A2502" s="2" t="s">
        <v>401</v>
      </c>
      <c r="B2502" s="2" t="s">
        <v>1007</v>
      </c>
      <c r="C2502" s="5" t="s">
        <v>4091</v>
      </c>
      <c r="D2502" s="2" t="s">
        <v>4092</v>
      </c>
    </row>
    <row r="2503" spans="1:4" ht="12.95" customHeight="1" x14ac:dyDescent="0.25">
      <c r="A2503" s="2" t="s">
        <v>401</v>
      </c>
      <c r="B2503" s="2" t="s">
        <v>1007</v>
      </c>
      <c r="C2503" s="5" t="s">
        <v>4093</v>
      </c>
      <c r="D2503" s="2" t="s">
        <v>4094</v>
      </c>
    </row>
    <row r="2504" spans="1:4" ht="12.95" customHeight="1" x14ac:dyDescent="0.25">
      <c r="A2504" s="2" t="s">
        <v>401</v>
      </c>
      <c r="B2504" s="2" t="s">
        <v>1007</v>
      </c>
      <c r="C2504" s="5" t="s">
        <v>4095</v>
      </c>
      <c r="D2504" s="2" t="s">
        <v>4096</v>
      </c>
    </row>
    <row r="2505" spans="1:4" ht="12.95" customHeight="1" x14ac:dyDescent="0.25">
      <c r="A2505" s="2" t="s">
        <v>401</v>
      </c>
      <c r="B2505" s="2" t="s">
        <v>1007</v>
      </c>
      <c r="C2505" s="5" t="s">
        <v>4097</v>
      </c>
      <c r="D2505" s="2" t="s">
        <v>4098</v>
      </c>
    </row>
    <row r="2506" spans="1:4" ht="12.95" customHeight="1" x14ac:dyDescent="0.25">
      <c r="A2506" s="2" t="s">
        <v>401</v>
      </c>
      <c r="B2506" s="2" t="s">
        <v>1007</v>
      </c>
      <c r="C2506" s="5" t="s">
        <v>4099</v>
      </c>
      <c r="D2506" s="2" t="s">
        <v>4100</v>
      </c>
    </row>
    <row r="2507" spans="1:4" ht="12.95" customHeight="1" x14ac:dyDescent="0.25">
      <c r="A2507" s="2" t="s">
        <v>401</v>
      </c>
      <c r="B2507" s="2" t="s">
        <v>1007</v>
      </c>
      <c r="C2507" s="5" t="s">
        <v>4101</v>
      </c>
      <c r="D2507" s="2" t="s">
        <v>4102</v>
      </c>
    </row>
    <row r="2508" spans="1:4" ht="12.95" customHeight="1" x14ac:dyDescent="0.25">
      <c r="A2508" s="2" t="s">
        <v>401</v>
      </c>
      <c r="B2508" s="2" t="s">
        <v>1007</v>
      </c>
      <c r="C2508" s="5" t="s">
        <v>4103</v>
      </c>
      <c r="D2508" s="2" t="s">
        <v>4104</v>
      </c>
    </row>
    <row r="2509" spans="1:4" ht="12.95" customHeight="1" x14ac:dyDescent="0.25">
      <c r="A2509" s="2" t="s">
        <v>401</v>
      </c>
      <c r="B2509" s="2" t="s">
        <v>1007</v>
      </c>
      <c r="C2509" s="5" t="s">
        <v>4105</v>
      </c>
      <c r="D2509" s="2" t="s">
        <v>4106</v>
      </c>
    </row>
    <row r="2510" spans="1:4" ht="12.95" customHeight="1" x14ac:dyDescent="0.25">
      <c r="A2510" s="2" t="s">
        <v>401</v>
      </c>
      <c r="B2510" s="2" t="s">
        <v>1007</v>
      </c>
      <c r="C2510" s="5" t="s">
        <v>1747</v>
      </c>
      <c r="D2510" s="2" t="s">
        <v>4107</v>
      </c>
    </row>
    <row r="2511" spans="1:4" ht="12.95" customHeight="1" x14ac:dyDescent="0.25">
      <c r="A2511" s="2" t="s">
        <v>401</v>
      </c>
      <c r="B2511" s="2" t="s">
        <v>1007</v>
      </c>
      <c r="C2511" s="5" t="s">
        <v>4108</v>
      </c>
      <c r="D2511" s="2" t="s">
        <v>4109</v>
      </c>
    </row>
    <row r="2512" spans="1:4" ht="12.95" customHeight="1" x14ac:dyDescent="0.25">
      <c r="A2512" s="2" t="s">
        <v>401</v>
      </c>
      <c r="B2512" s="2" t="s">
        <v>1007</v>
      </c>
      <c r="C2512" s="5" t="s">
        <v>4110</v>
      </c>
      <c r="D2512" s="2" t="s">
        <v>4111</v>
      </c>
    </row>
    <row r="2513" spans="1:4" ht="12.95" customHeight="1" x14ac:dyDescent="0.25">
      <c r="A2513" s="2" t="s">
        <v>401</v>
      </c>
      <c r="B2513" s="2" t="s">
        <v>1007</v>
      </c>
      <c r="C2513" s="5" t="s">
        <v>4112</v>
      </c>
      <c r="D2513" s="2" t="s">
        <v>4113</v>
      </c>
    </row>
    <row r="2514" spans="1:4" ht="12.95" customHeight="1" x14ac:dyDescent="0.25">
      <c r="A2514" s="2" t="s">
        <v>401</v>
      </c>
      <c r="B2514" s="2" t="s">
        <v>1007</v>
      </c>
      <c r="C2514" s="5" t="s">
        <v>4114</v>
      </c>
      <c r="D2514" s="2" t="s">
        <v>4115</v>
      </c>
    </row>
    <row r="2515" spans="1:4" ht="12.95" customHeight="1" x14ac:dyDescent="0.25">
      <c r="A2515" s="2" t="s">
        <v>401</v>
      </c>
      <c r="B2515" s="2" t="s">
        <v>1007</v>
      </c>
      <c r="C2515" s="5" t="s">
        <v>4116</v>
      </c>
      <c r="D2515" s="2" t="s">
        <v>4117</v>
      </c>
    </row>
    <row r="2516" spans="1:4" ht="12.95" customHeight="1" x14ac:dyDescent="0.25">
      <c r="A2516" s="2" t="s">
        <v>401</v>
      </c>
      <c r="B2516" s="2" t="s">
        <v>1007</v>
      </c>
      <c r="C2516" s="5" t="s">
        <v>4118</v>
      </c>
      <c r="D2516" s="2" t="s">
        <v>4119</v>
      </c>
    </row>
    <row r="2517" spans="1:4" ht="12.95" customHeight="1" x14ac:dyDescent="0.25">
      <c r="A2517" s="2" t="s">
        <v>401</v>
      </c>
      <c r="B2517" s="2" t="s">
        <v>1007</v>
      </c>
      <c r="C2517" s="5" t="s">
        <v>4120</v>
      </c>
      <c r="D2517" s="2" t="s">
        <v>3280</v>
      </c>
    </row>
    <row r="2518" spans="1:4" ht="12.95" customHeight="1" x14ac:dyDescent="0.25">
      <c r="A2518" s="2" t="s">
        <v>401</v>
      </c>
      <c r="B2518" s="2" t="s">
        <v>1007</v>
      </c>
      <c r="C2518" s="5" t="s">
        <v>4121</v>
      </c>
      <c r="D2518" s="2" t="s">
        <v>3394</v>
      </c>
    </row>
    <row r="2519" spans="1:4" ht="12.95" customHeight="1" x14ac:dyDescent="0.25">
      <c r="A2519" s="2" t="s">
        <v>401</v>
      </c>
      <c r="B2519" s="2" t="s">
        <v>1007</v>
      </c>
      <c r="C2519" s="5" t="s">
        <v>4122</v>
      </c>
      <c r="D2519" s="2" t="s">
        <v>4123</v>
      </c>
    </row>
    <row r="2520" spans="1:4" ht="12.95" customHeight="1" x14ac:dyDescent="0.25">
      <c r="A2520" s="2" t="s">
        <v>401</v>
      </c>
      <c r="B2520" s="2" t="s">
        <v>1007</v>
      </c>
      <c r="C2520" s="5" t="s">
        <v>4124</v>
      </c>
      <c r="D2520" s="2" t="s">
        <v>4125</v>
      </c>
    </row>
    <row r="2521" spans="1:4" ht="12.95" customHeight="1" x14ac:dyDescent="0.25">
      <c r="A2521" s="2" t="s">
        <v>401</v>
      </c>
      <c r="B2521" s="2" t="s">
        <v>1007</v>
      </c>
      <c r="C2521" s="5" t="s">
        <v>4126</v>
      </c>
      <c r="D2521" s="2" t="s">
        <v>4127</v>
      </c>
    </row>
    <row r="2522" spans="1:4" ht="12.95" customHeight="1" x14ac:dyDescent="0.25">
      <c r="A2522" s="2" t="s">
        <v>401</v>
      </c>
      <c r="B2522" s="2" t="s">
        <v>1007</v>
      </c>
      <c r="C2522" s="5" t="s">
        <v>4128</v>
      </c>
      <c r="D2522" s="2" t="s">
        <v>3314</v>
      </c>
    </row>
    <row r="2523" spans="1:4" ht="12.95" customHeight="1" x14ac:dyDescent="0.25">
      <c r="A2523" s="2" t="s">
        <v>401</v>
      </c>
      <c r="B2523" s="2" t="s">
        <v>1007</v>
      </c>
      <c r="C2523" s="5" t="s">
        <v>4129</v>
      </c>
      <c r="D2523" s="2" t="s">
        <v>4130</v>
      </c>
    </row>
    <row r="2524" spans="1:4" ht="12.95" customHeight="1" x14ac:dyDescent="0.25">
      <c r="A2524" s="2" t="s">
        <v>401</v>
      </c>
      <c r="B2524" s="2" t="s">
        <v>1007</v>
      </c>
      <c r="C2524" s="5" t="s">
        <v>4131</v>
      </c>
      <c r="D2524" s="2" t="s">
        <v>4132</v>
      </c>
    </row>
    <row r="2525" spans="1:4" ht="12.95" customHeight="1" x14ac:dyDescent="0.25">
      <c r="A2525" s="2" t="s">
        <v>401</v>
      </c>
      <c r="B2525" s="2" t="s">
        <v>1007</v>
      </c>
      <c r="C2525" s="5" t="s">
        <v>4133</v>
      </c>
      <c r="D2525" s="2" t="s">
        <v>4134</v>
      </c>
    </row>
    <row r="2526" spans="1:4" ht="12.95" customHeight="1" x14ac:dyDescent="0.25">
      <c r="A2526" s="2" t="s">
        <v>401</v>
      </c>
      <c r="B2526" s="2" t="s">
        <v>1007</v>
      </c>
      <c r="C2526" s="5" t="s">
        <v>4135</v>
      </c>
      <c r="D2526" s="2" t="s">
        <v>3282</v>
      </c>
    </row>
    <row r="2527" spans="1:4" ht="12.95" customHeight="1" x14ac:dyDescent="0.25">
      <c r="A2527" s="2" t="s">
        <v>401</v>
      </c>
      <c r="B2527" s="2" t="s">
        <v>1007</v>
      </c>
      <c r="C2527" s="5" t="s">
        <v>4136</v>
      </c>
      <c r="D2527" s="2" t="s">
        <v>4137</v>
      </c>
    </row>
    <row r="2528" spans="1:4" ht="12.95" customHeight="1" x14ac:dyDescent="0.25">
      <c r="A2528" s="2" t="s">
        <v>401</v>
      </c>
      <c r="B2528" s="2" t="s">
        <v>1007</v>
      </c>
      <c r="C2528" s="5" t="s">
        <v>4138</v>
      </c>
      <c r="D2528" s="2" t="s">
        <v>4139</v>
      </c>
    </row>
    <row r="2529" spans="1:4" ht="12.95" customHeight="1" x14ac:dyDescent="0.25">
      <c r="A2529" s="2" t="s">
        <v>401</v>
      </c>
      <c r="B2529" s="2" t="s">
        <v>1007</v>
      </c>
      <c r="C2529" s="5" t="s">
        <v>4140</v>
      </c>
      <c r="D2529" s="2" t="s">
        <v>4141</v>
      </c>
    </row>
    <row r="2530" spans="1:4" ht="12.95" customHeight="1" x14ac:dyDescent="0.25">
      <c r="A2530" s="2" t="s">
        <v>401</v>
      </c>
      <c r="B2530" s="2" t="s">
        <v>1007</v>
      </c>
      <c r="C2530" s="5" t="s">
        <v>4142</v>
      </c>
      <c r="D2530" s="2" t="s">
        <v>4143</v>
      </c>
    </row>
    <row r="2531" spans="1:4" ht="12.95" customHeight="1" x14ac:dyDescent="0.25">
      <c r="A2531" s="2" t="s">
        <v>401</v>
      </c>
      <c r="B2531" s="2" t="s">
        <v>1007</v>
      </c>
      <c r="C2531" s="5" t="s">
        <v>4144</v>
      </c>
      <c r="D2531" s="2" t="s">
        <v>4145</v>
      </c>
    </row>
    <row r="2532" spans="1:4" ht="12.95" customHeight="1" x14ac:dyDescent="0.25">
      <c r="A2532" s="2" t="s">
        <v>401</v>
      </c>
      <c r="B2532" s="2" t="s">
        <v>1007</v>
      </c>
      <c r="C2532" s="5" t="s">
        <v>4146</v>
      </c>
      <c r="D2532" s="2" t="s">
        <v>4147</v>
      </c>
    </row>
    <row r="2533" spans="1:4" ht="12.95" customHeight="1" x14ac:dyDescent="0.25">
      <c r="A2533" s="2" t="s">
        <v>401</v>
      </c>
      <c r="B2533" s="2" t="s">
        <v>1007</v>
      </c>
      <c r="C2533" s="5" t="s">
        <v>4148</v>
      </c>
      <c r="D2533" s="2" t="s">
        <v>4149</v>
      </c>
    </row>
    <row r="2534" spans="1:4" ht="12.95" customHeight="1" x14ac:dyDescent="0.25">
      <c r="A2534" s="2" t="s">
        <v>401</v>
      </c>
      <c r="B2534" s="2" t="s">
        <v>1007</v>
      </c>
      <c r="C2534" s="5" t="s">
        <v>4150</v>
      </c>
      <c r="D2534" s="2" t="s">
        <v>4151</v>
      </c>
    </row>
    <row r="2535" spans="1:4" ht="12.95" customHeight="1" x14ac:dyDescent="0.25">
      <c r="A2535" s="2" t="s">
        <v>401</v>
      </c>
      <c r="B2535" s="2" t="s">
        <v>1007</v>
      </c>
      <c r="C2535" s="5" t="s">
        <v>4152</v>
      </c>
      <c r="D2535" s="2" t="s">
        <v>4015</v>
      </c>
    </row>
    <row r="2536" spans="1:4" ht="12.95" customHeight="1" x14ac:dyDescent="0.25">
      <c r="A2536" s="2" t="s">
        <v>401</v>
      </c>
      <c r="B2536" s="2" t="s">
        <v>1007</v>
      </c>
      <c r="C2536" s="5" t="s">
        <v>4153</v>
      </c>
      <c r="D2536" s="2" t="s">
        <v>4017</v>
      </c>
    </row>
    <row r="2537" spans="1:4" ht="12.95" customHeight="1" x14ac:dyDescent="0.25">
      <c r="A2537" s="2" t="s">
        <v>401</v>
      </c>
      <c r="B2537" s="2" t="s">
        <v>1007</v>
      </c>
      <c r="C2537" s="5" t="s">
        <v>4154</v>
      </c>
      <c r="D2537" s="2" t="s">
        <v>4155</v>
      </c>
    </row>
    <row r="2538" spans="1:4" ht="12.95" customHeight="1" x14ac:dyDescent="0.25">
      <c r="A2538" s="2" t="s">
        <v>401</v>
      </c>
      <c r="B2538" s="2" t="s">
        <v>1007</v>
      </c>
      <c r="C2538" s="5" t="s">
        <v>4156</v>
      </c>
      <c r="D2538" s="2" t="s">
        <v>4157</v>
      </c>
    </row>
    <row r="2539" spans="1:4" ht="12.95" customHeight="1" x14ac:dyDescent="0.25">
      <c r="A2539" s="2" t="s">
        <v>401</v>
      </c>
      <c r="B2539" s="2" t="s">
        <v>1007</v>
      </c>
      <c r="C2539" s="5" t="s">
        <v>4158</v>
      </c>
      <c r="D2539" s="2" t="s">
        <v>4159</v>
      </c>
    </row>
    <row r="2540" spans="1:4" ht="12.95" customHeight="1" x14ac:dyDescent="0.25">
      <c r="A2540" s="2" t="s">
        <v>401</v>
      </c>
      <c r="B2540" s="2" t="s">
        <v>1007</v>
      </c>
      <c r="C2540" s="5" t="s">
        <v>4160</v>
      </c>
      <c r="D2540" s="2" t="s">
        <v>3334</v>
      </c>
    </row>
    <row r="2541" spans="1:4" ht="12.95" customHeight="1" x14ac:dyDescent="0.25">
      <c r="A2541" s="2" t="s">
        <v>401</v>
      </c>
      <c r="B2541" s="2" t="s">
        <v>1007</v>
      </c>
      <c r="C2541" s="5" t="s">
        <v>4161</v>
      </c>
      <c r="D2541" s="2" t="s">
        <v>3336</v>
      </c>
    </row>
    <row r="2542" spans="1:4" ht="12.95" customHeight="1" x14ac:dyDescent="0.25">
      <c r="A2542" s="2" t="s">
        <v>401</v>
      </c>
      <c r="B2542" s="2" t="s">
        <v>1007</v>
      </c>
      <c r="C2542" s="5" t="s">
        <v>4162</v>
      </c>
      <c r="D2542" s="2" t="s">
        <v>3511</v>
      </c>
    </row>
    <row r="2543" spans="1:4" ht="12.95" customHeight="1" x14ac:dyDescent="0.25">
      <c r="A2543" s="2" t="s">
        <v>401</v>
      </c>
      <c r="B2543" s="2" t="s">
        <v>1007</v>
      </c>
      <c r="C2543" s="5" t="s">
        <v>4163</v>
      </c>
      <c r="D2543" s="2" t="s">
        <v>3513</v>
      </c>
    </row>
    <row r="2544" spans="1:4" ht="12.95" customHeight="1" x14ac:dyDescent="0.25">
      <c r="A2544" s="2" t="s">
        <v>401</v>
      </c>
      <c r="B2544" s="2" t="s">
        <v>1007</v>
      </c>
      <c r="C2544" s="5" t="s">
        <v>4164</v>
      </c>
      <c r="D2544" s="2" t="s">
        <v>3515</v>
      </c>
    </row>
    <row r="2545" spans="1:4" ht="12.95" customHeight="1" x14ac:dyDescent="0.25">
      <c r="A2545" s="2" t="s">
        <v>401</v>
      </c>
      <c r="B2545" s="2" t="s">
        <v>1007</v>
      </c>
      <c r="C2545" s="5" t="s">
        <v>4165</v>
      </c>
      <c r="D2545" s="2" t="s">
        <v>3517</v>
      </c>
    </row>
    <row r="2546" spans="1:4" ht="12.95" customHeight="1" x14ac:dyDescent="0.25">
      <c r="A2546" s="2" t="s">
        <v>401</v>
      </c>
      <c r="B2546" s="2" t="s">
        <v>1007</v>
      </c>
      <c r="C2546" s="5" t="s">
        <v>4166</v>
      </c>
      <c r="D2546" s="2" t="s">
        <v>3519</v>
      </c>
    </row>
    <row r="2547" spans="1:4" ht="12.95" customHeight="1" x14ac:dyDescent="0.25">
      <c r="A2547" s="2" t="s">
        <v>401</v>
      </c>
      <c r="B2547" s="2" t="s">
        <v>1007</v>
      </c>
      <c r="C2547" s="5" t="s">
        <v>4167</v>
      </c>
      <c r="D2547" s="2" t="s">
        <v>3521</v>
      </c>
    </row>
    <row r="2548" spans="1:4" ht="12.95" customHeight="1" x14ac:dyDescent="0.25">
      <c r="A2548" s="2" t="s">
        <v>401</v>
      </c>
      <c r="B2548" s="2" t="s">
        <v>1007</v>
      </c>
      <c r="C2548" s="5" t="s">
        <v>4168</v>
      </c>
      <c r="D2548" s="2" t="s">
        <v>3712</v>
      </c>
    </row>
    <row r="2549" spans="1:4" ht="12.95" customHeight="1" x14ac:dyDescent="0.25">
      <c r="A2549" s="2" t="s">
        <v>401</v>
      </c>
      <c r="B2549" s="2" t="s">
        <v>1007</v>
      </c>
      <c r="C2549" s="5" t="s">
        <v>4169</v>
      </c>
      <c r="D2549" s="2" t="s">
        <v>3525</v>
      </c>
    </row>
    <row r="2550" spans="1:4" ht="12.95" customHeight="1" x14ac:dyDescent="0.25">
      <c r="A2550" s="2" t="s">
        <v>401</v>
      </c>
      <c r="B2550" s="2" t="s">
        <v>1007</v>
      </c>
      <c r="C2550" s="5" t="s">
        <v>4170</v>
      </c>
      <c r="D2550" s="2" t="s">
        <v>3340</v>
      </c>
    </row>
    <row r="2551" spans="1:4" ht="12.95" customHeight="1" x14ac:dyDescent="0.25">
      <c r="A2551" s="2" t="s">
        <v>401</v>
      </c>
      <c r="B2551" s="2" t="s">
        <v>1007</v>
      </c>
      <c r="C2551" s="5" t="s">
        <v>4171</v>
      </c>
      <c r="D2551" s="2" t="s">
        <v>3528</v>
      </c>
    </row>
    <row r="2552" spans="1:4" ht="12.95" customHeight="1" x14ac:dyDescent="0.25">
      <c r="A2552" s="2" t="s">
        <v>401</v>
      </c>
      <c r="B2552" s="2" t="s">
        <v>1007</v>
      </c>
      <c r="C2552" s="5" t="s">
        <v>4172</v>
      </c>
      <c r="D2552" s="2" t="s">
        <v>3717</v>
      </c>
    </row>
    <row r="2553" spans="1:4" ht="12.95" customHeight="1" x14ac:dyDescent="0.25">
      <c r="A2553" s="2" t="s">
        <v>401</v>
      </c>
      <c r="B2553" s="2" t="s">
        <v>1007</v>
      </c>
      <c r="C2553" s="5" t="s">
        <v>4173</v>
      </c>
      <c r="D2553" s="2" t="s">
        <v>3531</v>
      </c>
    </row>
    <row r="2554" spans="1:4" ht="12.95" customHeight="1" x14ac:dyDescent="0.25">
      <c r="A2554" s="2" t="s">
        <v>401</v>
      </c>
      <c r="B2554" s="2" t="s">
        <v>1007</v>
      </c>
      <c r="C2554" s="5" t="s">
        <v>4174</v>
      </c>
      <c r="D2554" s="2" t="s">
        <v>3533</v>
      </c>
    </row>
    <row r="2555" spans="1:4" ht="12.95" customHeight="1" x14ac:dyDescent="0.25">
      <c r="A2555" s="2" t="s">
        <v>401</v>
      </c>
      <c r="B2555" s="2" t="s">
        <v>1007</v>
      </c>
      <c r="C2555" s="5" t="s">
        <v>4175</v>
      </c>
      <c r="D2555" s="2" t="s">
        <v>4176</v>
      </c>
    </row>
    <row r="2556" spans="1:4" ht="12.95" customHeight="1" x14ac:dyDescent="0.25">
      <c r="A2556" s="2" t="s">
        <v>401</v>
      </c>
      <c r="B2556" s="2" t="s">
        <v>1007</v>
      </c>
      <c r="C2556" s="5" t="s">
        <v>4177</v>
      </c>
      <c r="D2556" s="2" t="s">
        <v>4178</v>
      </c>
    </row>
    <row r="2557" spans="1:4" ht="12.95" customHeight="1" x14ac:dyDescent="0.25">
      <c r="A2557" s="2" t="s">
        <v>401</v>
      </c>
      <c r="B2557" s="2" t="s">
        <v>1007</v>
      </c>
      <c r="C2557" s="5" t="s">
        <v>4179</v>
      </c>
      <c r="D2557" s="2" t="s">
        <v>4180</v>
      </c>
    </row>
    <row r="2558" spans="1:4" ht="12.95" customHeight="1" x14ac:dyDescent="0.25">
      <c r="A2558" s="2" t="s">
        <v>401</v>
      </c>
      <c r="B2558" s="2" t="s">
        <v>1007</v>
      </c>
      <c r="C2558" s="5" t="s">
        <v>4181</v>
      </c>
      <c r="D2558" s="2" t="s">
        <v>4182</v>
      </c>
    </row>
    <row r="2559" spans="1:4" ht="12.95" customHeight="1" x14ac:dyDescent="0.25">
      <c r="A2559" s="2" t="s">
        <v>401</v>
      </c>
      <c r="B2559" s="2" t="s">
        <v>1007</v>
      </c>
      <c r="C2559" s="5" t="s">
        <v>4183</v>
      </c>
      <c r="D2559" s="2" t="s">
        <v>4184</v>
      </c>
    </row>
    <row r="2560" spans="1:4" ht="12.95" customHeight="1" x14ac:dyDescent="0.25">
      <c r="A2560" s="2" t="s">
        <v>401</v>
      </c>
      <c r="B2560" s="2" t="s">
        <v>1007</v>
      </c>
      <c r="C2560" s="5" t="s">
        <v>4185</v>
      </c>
      <c r="D2560" s="2" t="s">
        <v>3731</v>
      </c>
    </row>
    <row r="2561" spans="1:4" ht="12.95" customHeight="1" x14ac:dyDescent="0.25">
      <c r="A2561" s="2" t="s">
        <v>401</v>
      </c>
      <c r="B2561" s="2" t="s">
        <v>1007</v>
      </c>
      <c r="C2561" s="5" t="s">
        <v>4186</v>
      </c>
      <c r="D2561" s="2" t="s">
        <v>4187</v>
      </c>
    </row>
    <row r="2562" spans="1:4" ht="12.95" customHeight="1" x14ac:dyDescent="0.25">
      <c r="A2562" s="2" t="s">
        <v>401</v>
      </c>
      <c r="B2562" s="2" t="s">
        <v>1007</v>
      </c>
      <c r="C2562" s="5" t="s">
        <v>4188</v>
      </c>
      <c r="D2562" s="2" t="s">
        <v>4189</v>
      </c>
    </row>
    <row r="2563" spans="1:4" ht="12.95" customHeight="1" x14ac:dyDescent="0.25">
      <c r="A2563" s="2" t="s">
        <v>401</v>
      </c>
      <c r="B2563" s="2" t="s">
        <v>1007</v>
      </c>
      <c r="C2563" s="5" t="s">
        <v>4190</v>
      </c>
      <c r="D2563" s="2" t="s">
        <v>4191</v>
      </c>
    </row>
    <row r="2564" spans="1:4" ht="12.95" customHeight="1" x14ac:dyDescent="0.25">
      <c r="A2564" s="2" t="s">
        <v>401</v>
      </c>
      <c r="B2564" s="2" t="s">
        <v>1007</v>
      </c>
      <c r="C2564" s="5" t="s">
        <v>4192</v>
      </c>
      <c r="D2564" s="2" t="s">
        <v>4193</v>
      </c>
    </row>
    <row r="2565" spans="1:4" ht="12.95" customHeight="1" x14ac:dyDescent="0.25">
      <c r="A2565" s="2" t="s">
        <v>401</v>
      </c>
      <c r="B2565" s="2" t="s">
        <v>1007</v>
      </c>
      <c r="C2565" s="5" t="s">
        <v>4194</v>
      </c>
      <c r="D2565" s="2" t="s">
        <v>4195</v>
      </c>
    </row>
    <row r="2566" spans="1:4" ht="12.95" customHeight="1" x14ac:dyDescent="0.25">
      <c r="A2566" s="2" t="s">
        <v>401</v>
      </c>
      <c r="B2566" s="2" t="s">
        <v>1007</v>
      </c>
      <c r="C2566" s="5" t="s">
        <v>4196</v>
      </c>
      <c r="D2566" s="2" t="s">
        <v>4197</v>
      </c>
    </row>
    <row r="2567" spans="1:4" ht="12.95" customHeight="1" x14ac:dyDescent="0.25">
      <c r="A2567" s="2" t="s">
        <v>401</v>
      </c>
      <c r="B2567" s="2" t="s">
        <v>1007</v>
      </c>
      <c r="C2567" s="5" t="s">
        <v>4198</v>
      </c>
      <c r="D2567" s="2" t="s">
        <v>3392</v>
      </c>
    </row>
    <row r="2568" spans="1:4" ht="12.95" customHeight="1" x14ac:dyDescent="0.25">
      <c r="A2568" s="2" t="s">
        <v>401</v>
      </c>
      <c r="B2568" s="2" t="s">
        <v>1007</v>
      </c>
      <c r="C2568" s="5" t="s">
        <v>4199</v>
      </c>
      <c r="D2568" s="2" t="s">
        <v>3394</v>
      </c>
    </row>
    <row r="2569" spans="1:4" ht="12.95" customHeight="1" x14ac:dyDescent="0.25">
      <c r="A2569" s="2" t="s">
        <v>401</v>
      </c>
      <c r="B2569" s="2" t="s">
        <v>1007</v>
      </c>
      <c r="C2569" s="5" t="s">
        <v>4200</v>
      </c>
      <c r="D2569" s="2" t="s">
        <v>4201</v>
      </c>
    </row>
    <row r="2570" spans="1:4" ht="12.95" customHeight="1" x14ac:dyDescent="0.25">
      <c r="A2570" s="2" t="s">
        <v>401</v>
      </c>
      <c r="B2570" s="2" t="s">
        <v>1007</v>
      </c>
      <c r="C2570" s="5" t="s">
        <v>4202</v>
      </c>
      <c r="D2570" s="2" t="s">
        <v>4203</v>
      </c>
    </row>
    <row r="2571" spans="1:4" ht="12.95" customHeight="1" x14ac:dyDescent="0.25">
      <c r="A2571" s="2" t="s">
        <v>401</v>
      </c>
      <c r="B2571" s="2" t="s">
        <v>1007</v>
      </c>
      <c r="C2571" s="5" t="s">
        <v>4204</v>
      </c>
      <c r="D2571" s="2" t="s">
        <v>4205</v>
      </c>
    </row>
    <row r="2572" spans="1:4" ht="12.95" customHeight="1" x14ac:dyDescent="0.25">
      <c r="A2572" s="2" t="s">
        <v>401</v>
      </c>
      <c r="B2572" s="2" t="s">
        <v>1007</v>
      </c>
      <c r="C2572" s="5" t="s">
        <v>4206</v>
      </c>
      <c r="D2572" s="2" t="s">
        <v>4207</v>
      </c>
    </row>
    <row r="2573" spans="1:4" ht="12.95" customHeight="1" x14ac:dyDescent="0.25">
      <c r="A2573" s="2" t="s">
        <v>401</v>
      </c>
      <c r="B2573" s="2" t="s">
        <v>1007</v>
      </c>
      <c r="C2573" s="5" t="s">
        <v>4208</v>
      </c>
      <c r="D2573" s="2" t="s">
        <v>4209</v>
      </c>
    </row>
    <row r="2574" spans="1:4" ht="12.95" customHeight="1" x14ac:dyDescent="0.25">
      <c r="A2574" s="2" t="s">
        <v>401</v>
      </c>
      <c r="B2574" s="2" t="s">
        <v>1007</v>
      </c>
      <c r="C2574" s="5" t="s">
        <v>4210</v>
      </c>
      <c r="D2574" s="2" t="s">
        <v>4211</v>
      </c>
    </row>
    <row r="2575" spans="1:4" ht="12.95" customHeight="1" x14ac:dyDescent="0.25">
      <c r="A2575" s="2" t="s">
        <v>401</v>
      </c>
      <c r="B2575" s="2" t="s">
        <v>1007</v>
      </c>
      <c r="C2575" s="5" t="s">
        <v>4212</v>
      </c>
      <c r="D2575" s="2" t="s">
        <v>3334</v>
      </c>
    </row>
    <row r="2576" spans="1:4" ht="12.95" customHeight="1" x14ac:dyDescent="0.25">
      <c r="A2576" s="2" t="s">
        <v>401</v>
      </c>
      <c r="B2576" s="2" t="s">
        <v>1007</v>
      </c>
      <c r="C2576" s="5" t="s">
        <v>4213</v>
      </c>
      <c r="D2576" s="2" t="s">
        <v>3336</v>
      </c>
    </row>
    <row r="2577" spans="1:4" ht="12.95" customHeight="1" x14ac:dyDescent="0.25">
      <c r="A2577" s="2" t="s">
        <v>401</v>
      </c>
      <c r="B2577" s="2" t="s">
        <v>1007</v>
      </c>
      <c r="C2577" s="5" t="s">
        <v>4214</v>
      </c>
      <c r="D2577" s="2" t="s">
        <v>3517</v>
      </c>
    </row>
    <row r="2578" spans="1:4" ht="12.95" customHeight="1" x14ac:dyDescent="0.25">
      <c r="A2578" s="2" t="s">
        <v>401</v>
      </c>
      <c r="B2578" s="2" t="s">
        <v>1007</v>
      </c>
      <c r="C2578" s="5" t="s">
        <v>4215</v>
      </c>
      <c r="D2578" s="2" t="s">
        <v>4216</v>
      </c>
    </row>
    <row r="2579" spans="1:4" ht="12.95" customHeight="1" x14ac:dyDescent="0.25">
      <c r="A2579" s="2" t="s">
        <v>401</v>
      </c>
      <c r="B2579" s="2" t="s">
        <v>1007</v>
      </c>
      <c r="C2579" s="5" t="s">
        <v>4217</v>
      </c>
      <c r="D2579" s="2" t="s">
        <v>4218</v>
      </c>
    </row>
    <row r="2580" spans="1:4" ht="12.95" customHeight="1" x14ac:dyDescent="0.25">
      <c r="A2580" s="2" t="s">
        <v>401</v>
      </c>
      <c r="B2580" s="2" t="s">
        <v>1007</v>
      </c>
      <c r="C2580" s="5" t="s">
        <v>4219</v>
      </c>
      <c r="D2580" s="2" t="s">
        <v>4220</v>
      </c>
    </row>
    <row r="2581" spans="1:4" ht="12.95" customHeight="1" x14ac:dyDescent="0.25">
      <c r="A2581" s="2" t="s">
        <v>401</v>
      </c>
      <c r="B2581" s="2" t="s">
        <v>1007</v>
      </c>
      <c r="C2581" s="5" t="s">
        <v>4221</v>
      </c>
      <c r="D2581" s="2" t="s">
        <v>4222</v>
      </c>
    </row>
    <row r="2582" spans="1:4" ht="12.95" customHeight="1" x14ac:dyDescent="0.25">
      <c r="A2582" s="2" t="s">
        <v>401</v>
      </c>
      <c r="B2582" s="2" t="s">
        <v>1007</v>
      </c>
      <c r="C2582" s="5" t="s">
        <v>4223</v>
      </c>
      <c r="D2582" s="2" t="s">
        <v>3340</v>
      </c>
    </row>
    <row r="2583" spans="1:4" ht="12.95" customHeight="1" x14ac:dyDescent="0.25">
      <c r="A2583" s="2" t="s">
        <v>401</v>
      </c>
      <c r="B2583" s="2" t="s">
        <v>1007</v>
      </c>
      <c r="C2583" s="5" t="s">
        <v>4224</v>
      </c>
      <c r="D2583" s="2" t="s">
        <v>4225</v>
      </c>
    </row>
    <row r="2584" spans="1:4" ht="12.95" customHeight="1" x14ac:dyDescent="0.25">
      <c r="A2584" s="2" t="s">
        <v>401</v>
      </c>
      <c r="B2584" s="2" t="s">
        <v>1007</v>
      </c>
      <c r="C2584" s="5" t="s">
        <v>4226</v>
      </c>
      <c r="D2584" s="2" t="s">
        <v>3717</v>
      </c>
    </row>
    <row r="2585" spans="1:4" ht="12.95" customHeight="1" x14ac:dyDescent="0.25">
      <c r="A2585" s="2" t="s">
        <v>401</v>
      </c>
      <c r="B2585" s="2" t="s">
        <v>1007</v>
      </c>
      <c r="C2585" s="5" t="s">
        <v>4227</v>
      </c>
      <c r="D2585" s="2" t="s">
        <v>3531</v>
      </c>
    </row>
    <row r="2586" spans="1:4" ht="12.95" customHeight="1" x14ac:dyDescent="0.25">
      <c r="A2586" s="2" t="s">
        <v>401</v>
      </c>
      <c r="B2586" s="2" t="s">
        <v>1007</v>
      </c>
      <c r="C2586" s="5" t="s">
        <v>4228</v>
      </c>
      <c r="D2586" s="2" t="s">
        <v>4229</v>
      </c>
    </row>
    <row r="2587" spans="1:4" ht="12.95" customHeight="1" x14ac:dyDescent="0.25">
      <c r="A2587" s="2" t="s">
        <v>401</v>
      </c>
      <c r="B2587" s="2" t="s">
        <v>1007</v>
      </c>
      <c r="C2587" s="5" t="s">
        <v>4230</v>
      </c>
      <c r="D2587" s="2" t="s">
        <v>3168</v>
      </c>
    </row>
    <row r="2588" spans="1:4" ht="12.95" customHeight="1" x14ac:dyDescent="0.25">
      <c r="A2588" s="2" t="s">
        <v>401</v>
      </c>
      <c r="B2588" s="2" t="s">
        <v>1007</v>
      </c>
      <c r="C2588" s="5" t="s">
        <v>4231</v>
      </c>
      <c r="D2588" s="2" t="s">
        <v>3280</v>
      </c>
    </row>
    <row r="2589" spans="1:4" ht="12.95" customHeight="1" x14ac:dyDescent="0.25">
      <c r="A2589" s="2" t="s">
        <v>401</v>
      </c>
      <c r="B2589" s="2" t="s">
        <v>1007</v>
      </c>
      <c r="C2589" s="5" t="s">
        <v>4232</v>
      </c>
      <c r="D2589" s="2" t="s">
        <v>3282</v>
      </c>
    </row>
    <row r="2590" spans="1:4" ht="12.95" customHeight="1" x14ac:dyDescent="0.25">
      <c r="A2590" s="2" t="s">
        <v>401</v>
      </c>
      <c r="B2590" s="2" t="s">
        <v>1007</v>
      </c>
      <c r="C2590" s="5" t="s">
        <v>4233</v>
      </c>
      <c r="D2590" s="2" t="s">
        <v>4234</v>
      </c>
    </row>
    <row r="2591" spans="1:4" ht="12.95" customHeight="1" x14ac:dyDescent="0.25">
      <c r="A2591" s="2" t="s">
        <v>401</v>
      </c>
      <c r="B2591" s="2" t="s">
        <v>1007</v>
      </c>
      <c r="C2591" s="5" t="s">
        <v>4235</v>
      </c>
      <c r="D2591" s="2" t="s">
        <v>4236</v>
      </c>
    </row>
    <row r="2592" spans="1:4" ht="12.95" customHeight="1" x14ac:dyDescent="0.25">
      <c r="A2592" s="2" t="s">
        <v>401</v>
      </c>
      <c r="B2592" s="2" t="s">
        <v>1007</v>
      </c>
      <c r="C2592" s="5" t="s">
        <v>4237</v>
      </c>
      <c r="D2592" s="2" t="s">
        <v>4238</v>
      </c>
    </row>
    <row r="2593" spans="1:4" ht="12.95" customHeight="1" x14ac:dyDescent="0.25">
      <c r="A2593" s="2" t="s">
        <v>401</v>
      </c>
      <c r="B2593" s="2" t="s">
        <v>1007</v>
      </c>
      <c r="C2593" s="5" t="s">
        <v>4239</v>
      </c>
      <c r="D2593" s="2" t="s">
        <v>4240</v>
      </c>
    </row>
    <row r="2594" spans="1:4" ht="12.95" customHeight="1" x14ac:dyDescent="0.25">
      <c r="A2594" s="2" t="s">
        <v>401</v>
      </c>
      <c r="B2594" s="2" t="s">
        <v>1007</v>
      </c>
      <c r="C2594" s="5" t="s">
        <v>4241</v>
      </c>
      <c r="D2594" s="2" t="s">
        <v>4242</v>
      </c>
    </row>
    <row r="2595" spans="1:4" ht="12.95" customHeight="1" x14ac:dyDescent="0.25">
      <c r="A2595" s="2" t="s">
        <v>401</v>
      </c>
      <c r="B2595" s="2" t="s">
        <v>1007</v>
      </c>
      <c r="C2595" s="5" t="s">
        <v>4243</v>
      </c>
      <c r="D2595" s="2" t="s">
        <v>3280</v>
      </c>
    </row>
    <row r="2596" spans="1:4" ht="12.95" customHeight="1" x14ac:dyDescent="0.25">
      <c r="A2596" s="2" t="s">
        <v>401</v>
      </c>
      <c r="B2596" s="2" t="s">
        <v>1007</v>
      </c>
      <c r="C2596" s="5" t="s">
        <v>4244</v>
      </c>
      <c r="D2596" s="2" t="s">
        <v>4245</v>
      </c>
    </row>
    <row r="2597" spans="1:4" ht="12.95" customHeight="1" x14ac:dyDescent="0.25">
      <c r="A2597" s="2" t="s">
        <v>401</v>
      </c>
      <c r="B2597" s="2" t="s">
        <v>1007</v>
      </c>
      <c r="C2597" s="5" t="s">
        <v>4246</v>
      </c>
      <c r="D2597" s="2" t="s">
        <v>4247</v>
      </c>
    </row>
    <row r="2598" spans="1:4" ht="12.95" customHeight="1" x14ac:dyDescent="0.25">
      <c r="A2598" s="2" t="s">
        <v>401</v>
      </c>
      <c r="B2598" s="2" t="s">
        <v>1007</v>
      </c>
      <c r="C2598" s="5" t="s">
        <v>4248</v>
      </c>
      <c r="D2598" s="2" t="s">
        <v>4249</v>
      </c>
    </row>
    <row r="2599" spans="1:4" ht="12.95" customHeight="1" x14ac:dyDescent="0.25">
      <c r="A2599" s="2" t="s">
        <v>401</v>
      </c>
      <c r="B2599" s="2" t="s">
        <v>1007</v>
      </c>
      <c r="C2599" s="5" t="s">
        <v>4250</v>
      </c>
      <c r="D2599" s="2" t="s">
        <v>4251</v>
      </c>
    </row>
    <row r="2600" spans="1:4" ht="12.95" customHeight="1" x14ac:dyDescent="0.25">
      <c r="A2600" s="2" t="s">
        <v>401</v>
      </c>
      <c r="B2600" s="2" t="s">
        <v>1007</v>
      </c>
      <c r="C2600" s="5" t="s">
        <v>4252</v>
      </c>
      <c r="D2600" s="2" t="s">
        <v>4253</v>
      </c>
    </row>
    <row r="2601" spans="1:4" ht="12.95" customHeight="1" x14ac:dyDescent="0.25">
      <c r="A2601" s="2" t="s">
        <v>401</v>
      </c>
      <c r="B2601" s="2" t="s">
        <v>1007</v>
      </c>
      <c r="C2601" s="5" t="s">
        <v>4254</v>
      </c>
      <c r="D2601" s="2" t="s">
        <v>4255</v>
      </c>
    </row>
    <row r="2602" spans="1:4" ht="12.95" customHeight="1" x14ac:dyDescent="0.25">
      <c r="A2602" s="2" t="s">
        <v>401</v>
      </c>
      <c r="B2602" s="2" t="s">
        <v>1007</v>
      </c>
      <c r="C2602" s="5" t="s">
        <v>4256</v>
      </c>
      <c r="D2602" s="2" t="s">
        <v>4257</v>
      </c>
    </row>
    <row r="2603" spans="1:4" ht="12.95" customHeight="1" x14ac:dyDescent="0.25">
      <c r="A2603" s="2" t="s">
        <v>401</v>
      </c>
      <c r="B2603" s="2" t="s">
        <v>1007</v>
      </c>
      <c r="C2603" s="5" t="s">
        <v>4258</v>
      </c>
      <c r="D2603" s="2" t="s">
        <v>4259</v>
      </c>
    </row>
    <row r="2604" spans="1:4" ht="12.95" customHeight="1" x14ac:dyDescent="0.25">
      <c r="A2604" s="2" t="s">
        <v>401</v>
      </c>
      <c r="B2604" s="2" t="s">
        <v>1007</v>
      </c>
      <c r="C2604" s="5" t="s">
        <v>4260</v>
      </c>
      <c r="D2604" s="2" t="s">
        <v>4261</v>
      </c>
    </row>
    <row r="2605" spans="1:4" ht="12.95" customHeight="1" x14ac:dyDescent="0.25">
      <c r="A2605" s="2" t="s">
        <v>401</v>
      </c>
      <c r="B2605" s="2" t="s">
        <v>1007</v>
      </c>
      <c r="C2605" s="5" t="s">
        <v>4262</v>
      </c>
      <c r="D2605" s="2" t="s">
        <v>4263</v>
      </c>
    </row>
    <row r="2606" spans="1:4" ht="12.95" customHeight="1" x14ac:dyDescent="0.25">
      <c r="A2606" s="2" t="s">
        <v>401</v>
      </c>
      <c r="B2606" s="2" t="s">
        <v>1007</v>
      </c>
      <c r="C2606" s="5" t="s">
        <v>4264</v>
      </c>
      <c r="D2606" s="2" t="s">
        <v>4265</v>
      </c>
    </row>
    <row r="2607" spans="1:4" ht="12.95" customHeight="1" x14ac:dyDescent="0.25">
      <c r="A2607" s="2" t="s">
        <v>401</v>
      </c>
      <c r="B2607" s="2" t="s">
        <v>1007</v>
      </c>
      <c r="C2607" s="5" t="s">
        <v>4266</v>
      </c>
      <c r="D2607" s="2" t="s">
        <v>4267</v>
      </c>
    </row>
    <row r="2608" spans="1:4" ht="12.95" customHeight="1" x14ac:dyDescent="0.25">
      <c r="A2608" s="2" t="s">
        <v>401</v>
      </c>
      <c r="B2608" s="2" t="s">
        <v>1007</v>
      </c>
      <c r="C2608" s="5" t="s">
        <v>4268</v>
      </c>
      <c r="D2608" s="2" t="s">
        <v>4269</v>
      </c>
    </row>
    <row r="2609" spans="1:4" ht="12.95" customHeight="1" x14ac:dyDescent="0.25">
      <c r="A2609" s="2" t="s">
        <v>401</v>
      </c>
      <c r="B2609" s="2" t="s">
        <v>1007</v>
      </c>
      <c r="C2609" s="5" t="s">
        <v>4270</v>
      </c>
      <c r="D2609" s="2" t="s">
        <v>4271</v>
      </c>
    </row>
    <row r="2610" spans="1:4" ht="12.95" customHeight="1" x14ac:dyDescent="0.25">
      <c r="A2610" s="2" t="s">
        <v>401</v>
      </c>
      <c r="B2610" s="2" t="s">
        <v>1007</v>
      </c>
      <c r="C2610" s="5" t="s">
        <v>4272</v>
      </c>
      <c r="D2610" s="2" t="s">
        <v>4273</v>
      </c>
    </row>
    <row r="2611" spans="1:4" ht="12.95" customHeight="1" x14ac:dyDescent="0.25">
      <c r="A2611" s="2" t="s">
        <v>401</v>
      </c>
      <c r="B2611" s="2" t="s">
        <v>1007</v>
      </c>
      <c r="C2611" s="5" t="s">
        <v>4274</v>
      </c>
      <c r="D2611" s="2" t="s">
        <v>4275</v>
      </c>
    </row>
    <row r="2612" spans="1:4" ht="12.95" customHeight="1" x14ac:dyDescent="0.25">
      <c r="A2612" s="2" t="s">
        <v>401</v>
      </c>
      <c r="B2612" s="2" t="s">
        <v>1007</v>
      </c>
      <c r="C2612" s="5" t="s">
        <v>4276</v>
      </c>
      <c r="D2612" s="2" t="s">
        <v>4277</v>
      </c>
    </row>
    <row r="2613" spans="1:4" ht="12.95" customHeight="1" x14ac:dyDescent="0.25">
      <c r="A2613" s="2" t="s">
        <v>401</v>
      </c>
      <c r="B2613" s="2" t="s">
        <v>1007</v>
      </c>
      <c r="C2613" s="5" t="s">
        <v>4278</v>
      </c>
      <c r="D2613" s="2" t="s">
        <v>4279</v>
      </c>
    </row>
    <row r="2614" spans="1:4" ht="12.95" customHeight="1" x14ac:dyDescent="0.25">
      <c r="A2614" s="2" t="s">
        <v>401</v>
      </c>
      <c r="B2614" s="2" t="s">
        <v>1007</v>
      </c>
      <c r="C2614" s="5" t="s">
        <v>4280</v>
      </c>
      <c r="D2614" s="2" t="s">
        <v>4281</v>
      </c>
    </row>
    <row r="2615" spans="1:4" ht="12.95" customHeight="1" x14ac:dyDescent="0.25">
      <c r="A2615" s="2" t="s">
        <v>401</v>
      </c>
      <c r="B2615" s="2" t="s">
        <v>1007</v>
      </c>
      <c r="C2615" s="5" t="s">
        <v>4282</v>
      </c>
      <c r="D2615" s="2" t="s">
        <v>4283</v>
      </c>
    </row>
    <row r="2616" spans="1:4" ht="12.95" customHeight="1" x14ac:dyDescent="0.25">
      <c r="A2616" s="2" t="s">
        <v>401</v>
      </c>
      <c r="B2616" s="2" t="s">
        <v>1007</v>
      </c>
      <c r="C2616" s="5" t="s">
        <v>4284</v>
      </c>
      <c r="D2616" s="2" t="s">
        <v>3392</v>
      </c>
    </row>
    <row r="2617" spans="1:4" ht="12.95" customHeight="1" x14ac:dyDescent="0.25">
      <c r="A2617" s="2" t="s">
        <v>401</v>
      </c>
      <c r="B2617" s="2" t="s">
        <v>1007</v>
      </c>
      <c r="C2617" s="5" t="s">
        <v>4285</v>
      </c>
      <c r="D2617" s="2" t="s">
        <v>3394</v>
      </c>
    </row>
    <row r="2618" spans="1:4" ht="12.95" customHeight="1" x14ac:dyDescent="0.25">
      <c r="A2618" s="2" t="s">
        <v>401</v>
      </c>
      <c r="B2618" s="2" t="s">
        <v>1007</v>
      </c>
      <c r="C2618" s="5" t="s">
        <v>4286</v>
      </c>
      <c r="D2618" s="2" t="s">
        <v>4287</v>
      </c>
    </row>
    <row r="2619" spans="1:4" ht="12.95" customHeight="1" x14ac:dyDescent="0.25">
      <c r="A2619" s="2" t="s">
        <v>401</v>
      </c>
      <c r="B2619" s="2" t="s">
        <v>1007</v>
      </c>
      <c r="C2619" s="5" t="s">
        <v>4288</v>
      </c>
      <c r="D2619" s="2" t="s">
        <v>4289</v>
      </c>
    </row>
    <row r="2620" spans="1:4" ht="12.95" customHeight="1" x14ac:dyDescent="0.25">
      <c r="A2620" s="2" t="s">
        <v>401</v>
      </c>
      <c r="B2620" s="2" t="s">
        <v>1007</v>
      </c>
      <c r="C2620" s="5" t="s">
        <v>4290</v>
      </c>
      <c r="D2620" s="2" t="s">
        <v>4291</v>
      </c>
    </row>
    <row r="2621" spans="1:4" ht="12.95" customHeight="1" x14ac:dyDescent="0.25">
      <c r="A2621" s="2" t="s">
        <v>401</v>
      </c>
      <c r="B2621" s="2" t="s">
        <v>1007</v>
      </c>
      <c r="C2621" s="5" t="s">
        <v>4292</v>
      </c>
      <c r="D2621" s="2" t="s">
        <v>4293</v>
      </c>
    </row>
    <row r="2622" spans="1:4" ht="12.95" customHeight="1" x14ac:dyDescent="0.25">
      <c r="A2622" s="2" t="s">
        <v>401</v>
      </c>
      <c r="B2622" s="2" t="s">
        <v>1007</v>
      </c>
      <c r="C2622" s="5" t="s">
        <v>4294</v>
      </c>
      <c r="D2622" s="2" t="s">
        <v>4295</v>
      </c>
    </row>
    <row r="2623" spans="1:4" ht="12.95" customHeight="1" x14ac:dyDescent="0.25">
      <c r="A2623" s="2" t="s">
        <v>401</v>
      </c>
      <c r="B2623" s="2" t="s">
        <v>1007</v>
      </c>
      <c r="C2623" s="5" t="s">
        <v>4296</v>
      </c>
      <c r="D2623" s="2" t="s">
        <v>4297</v>
      </c>
    </row>
    <row r="2624" spans="1:4" ht="12.95" customHeight="1" x14ac:dyDescent="0.25">
      <c r="A2624" s="2" t="s">
        <v>401</v>
      </c>
      <c r="B2624" s="2" t="s">
        <v>1007</v>
      </c>
      <c r="C2624" s="5" t="s">
        <v>4298</v>
      </c>
      <c r="D2624" s="2" t="s">
        <v>3312</v>
      </c>
    </row>
    <row r="2625" spans="1:4" ht="12.95" customHeight="1" x14ac:dyDescent="0.25">
      <c r="A2625" s="2" t="s">
        <v>401</v>
      </c>
      <c r="B2625" s="2" t="s">
        <v>1007</v>
      </c>
      <c r="C2625" s="5" t="s">
        <v>4299</v>
      </c>
      <c r="D2625" s="2" t="s">
        <v>3314</v>
      </c>
    </row>
    <row r="2626" spans="1:4" ht="12.95" customHeight="1" x14ac:dyDescent="0.25">
      <c r="A2626" s="2" t="s">
        <v>401</v>
      </c>
      <c r="B2626" s="2" t="s">
        <v>1007</v>
      </c>
      <c r="C2626" s="5" t="s">
        <v>4300</v>
      </c>
      <c r="D2626" s="2" t="s">
        <v>3533</v>
      </c>
    </row>
    <row r="2627" spans="1:4" ht="12.95" customHeight="1" x14ac:dyDescent="0.25">
      <c r="A2627" s="2" t="s">
        <v>401</v>
      </c>
      <c r="B2627" s="2" t="s">
        <v>1007</v>
      </c>
      <c r="C2627" s="5" t="s">
        <v>4301</v>
      </c>
      <c r="D2627" s="2" t="s">
        <v>4302</v>
      </c>
    </row>
    <row r="2628" spans="1:4" ht="12.95" customHeight="1" x14ac:dyDescent="0.25">
      <c r="A2628" s="2" t="s">
        <v>401</v>
      </c>
      <c r="B2628" s="2" t="s">
        <v>1007</v>
      </c>
      <c r="C2628" s="5" t="s">
        <v>4303</v>
      </c>
      <c r="D2628" s="2" t="s">
        <v>4304</v>
      </c>
    </row>
    <row r="2629" spans="1:4" ht="12.95" customHeight="1" x14ac:dyDescent="0.25">
      <c r="A2629" s="2" t="s">
        <v>401</v>
      </c>
      <c r="B2629" s="2" t="s">
        <v>1007</v>
      </c>
      <c r="C2629" s="5" t="s">
        <v>4305</v>
      </c>
      <c r="D2629" s="2" t="s">
        <v>4306</v>
      </c>
    </row>
    <row r="2630" spans="1:4" ht="12.95" customHeight="1" x14ac:dyDescent="0.25">
      <c r="A2630" s="2" t="s">
        <v>401</v>
      </c>
      <c r="B2630" s="2" t="s">
        <v>1007</v>
      </c>
      <c r="C2630" s="5" t="s">
        <v>4307</v>
      </c>
      <c r="D2630" s="2" t="s">
        <v>4308</v>
      </c>
    </row>
    <row r="2631" spans="1:4" ht="12.95" customHeight="1" x14ac:dyDescent="0.25">
      <c r="A2631" s="2" t="s">
        <v>401</v>
      </c>
      <c r="B2631" s="2" t="s">
        <v>1007</v>
      </c>
      <c r="C2631" s="5" t="s">
        <v>4309</v>
      </c>
      <c r="D2631" s="2" t="s">
        <v>4310</v>
      </c>
    </row>
    <row r="2632" spans="1:4" ht="12.95" customHeight="1" x14ac:dyDescent="0.25">
      <c r="A2632" s="2" t="s">
        <v>401</v>
      </c>
      <c r="B2632" s="2" t="s">
        <v>1007</v>
      </c>
      <c r="C2632" s="5" t="s">
        <v>4311</v>
      </c>
      <c r="D2632" s="2" t="s">
        <v>4312</v>
      </c>
    </row>
    <row r="2633" spans="1:4" ht="12.95" customHeight="1" x14ac:dyDescent="0.25">
      <c r="A2633" s="2" t="s">
        <v>401</v>
      </c>
      <c r="B2633" s="2" t="s">
        <v>1007</v>
      </c>
      <c r="C2633" s="5" t="s">
        <v>4313</v>
      </c>
      <c r="D2633" s="2" t="s">
        <v>4314</v>
      </c>
    </row>
    <row r="2634" spans="1:4" ht="12.95" customHeight="1" x14ac:dyDescent="0.25">
      <c r="A2634" s="2" t="s">
        <v>401</v>
      </c>
      <c r="B2634" s="2" t="s">
        <v>1007</v>
      </c>
      <c r="C2634" s="5" t="s">
        <v>4315</v>
      </c>
      <c r="D2634" s="2" t="s">
        <v>4316</v>
      </c>
    </row>
    <row r="2635" spans="1:4" ht="12.95" customHeight="1" x14ac:dyDescent="0.25">
      <c r="A2635" s="2" t="s">
        <v>401</v>
      </c>
      <c r="B2635" s="2" t="s">
        <v>1007</v>
      </c>
      <c r="C2635" s="5" t="s">
        <v>4317</v>
      </c>
      <c r="D2635" s="2" t="s">
        <v>3392</v>
      </c>
    </row>
    <row r="2636" spans="1:4" ht="12.95" customHeight="1" x14ac:dyDescent="0.25">
      <c r="A2636" s="2" t="s">
        <v>401</v>
      </c>
      <c r="B2636" s="2" t="s">
        <v>1007</v>
      </c>
      <c r="C2636" s="5" t="s">
        <v>4318</v>
      </c>
      <c r="D2636" s="2" t="s">
        <v>3394</v>
      </c>
    </row>
    <row r="2637" spans="1:4" ht="12.95" customHeight="1" x14ac:dyDescent="0.25">
      <c r="A2637" s="2" t="s">
        <v>401</v>
      </c>
      <c r="B2637" s="2" t="s">
        <v>1007</v>
      </c>
      <c r="C2637" s="5" t="s">
        <v>4319</v>
      </c>
      <c r="D2637" s="2" t="s">
        <v>4320</v>
      </c>
    </row>
    <row r="2638" spans="1:4" ht="12.95" customHeight="1" x14ac:dyDescent="0.25">
      <c r="A2638" s="2" t="s">
        <v>401</v>
      </c>
      <c r="B2638" s="2" t="s">
        <v>1007</v>
      </c>
      <c r="C2638" s="5" t="s">
        <v>4321</v>
      </c>
      <c r="D2638" s="2" t="s">
        <v>4322</v>
      </c>
    </row>
    <row r="2639" spans="1:4" ht="12.95" customHeight="1" x14ac:dyDescent="0.25">
      <c r="A2639" s="2" t="s">
        <v>401</v>
      </c>
      <c r="B2639" s="2" t="s">
        <v>1007</v>
      </c>
      <c r="C2639" s="5" t="s">
        <v>4323</v>
      </c>
      <c r="D2639" s="2" t="s">
        <v>4271</v>
      </c>
    </row>
    <row r="2640" spans="1:4" ht="12.95" customHeight="1" x14ac:dyDescent="0.25">
      <c r="A2640" s="2" t="s">
        <v>401</v>
      </c>
      <c r="B2640" s="2" t="s">
        <v>1007</v>
      </c>
      <c r="C2640" s="5" t="s">
        <v>4324</v>
      </c>
      <c r="D2640" s="2" t="s">
        <v>4325</v>
      </c>
    </row>
    <row r="2641" spans="1:4" ht="12.95" customHeight="1" x14ac:dyDescent="0.25">
      <c r="A2641" s="2" t="s">
        <v>401</v>
      </c>
      <c r="B2641" s="2" t="s">
        <v>1007</v>
      </c>
      <c r="C2641" s="5" t="s">
        <v>4326</v>
      </c>
      <c r="D2641" s="2" t="s">
        <v>3111</v>
      </c>
    </row>
    <row r="2642" spans="1:4" ht="12.95" customHeight="1" x14ac:dyDescent="0.25">
      <c r="A2642" s="2" t="s">
        <v>401</v>
      </c>
      <c r="B2642" s="2" t="s">
        <v>1007</v>
      </c>
      <c r="C2642" s="5" t="s">
        <v>4327</v>
      </c>
      <c r="D2642" s="2" t="s">
        <v>4328</v>
      </c>
    </row>
    <row r="2643" spans="1:4" ht="12.95" customHeight="1" x14ac:dyDescent="0.25">
      <c r="A2643" s="2" t="s">
        <v>401</v>
      </c>
      <c r="B2643" s="2" t="s">
        <v>1007</v>
      </c>
      <c r="C2643" s="5" t="s">
        <v>4329</v>
      </c>
      <c r="D2643" s="2" t="s">
        <v>3364</v>
      </c>
    </row>
    <row r="2644" spans="1:4" ht="12.95" customHeight="1" x14ac:dyDescent="0.25">
      <c r="A2644" s="2" t="s">
        <v>401</v>
      </c>
      <c r="B2644" s="2" t="s">
        <v>1007</v>
      </c>
      <c r="C2644" s="5" t="s">
        <v>4330</v>
      </c>
      <c r="D2644" s="2" t="s">
        <v>4331</v>
      </c>
    </row>
    <row r="2645" spans="1:4" ht="12.95" customHeight="1" x14ac:dyDescent="0.25">
      <c r="A2645" s="2" t="s">
        <v>401</v>
      </c>
      <c r="B2645" s="2" t="s">
        <v>1007</v>
      </c>
      <c r="C2645" s="5" t="s">
        <v>4332</v>
      </c>
      <c r="D2645" s="2" t="s">
        <v>4333</v>
      </c>
    </row>
    <row r="2646" spans="1:4" ht="12.95" customHeight="1" x14ac:dyDescent="0.25">
      <c r="A2646" s="2" t="s">
        <v>401</v>
      </c>
      <c r="B2646" s="2" t="s">
        <v>1007</v>
      </c>
      <c r="C2646" s="5" t="s">
        <v>4334</v>
      </c>
      <c r="D2646" s="2" t="s">
        <v>4335</v>
      </c>
    </row>
    <row r="2647" spans="1:4" ht="12.95" customHeight="1" x14ac:dyDescent="0.25">
      <c r="A2647" s="2" t="s">
        <v>401</v>
      </c>
      <c r="B2647" s="2" t="s">
        <v>1007</v>
      </c>
      <c r="C2647" s="5" t="s">
        <v>4336</v>
      </c>
      <c r="D2647" s="2" t="s">
        <v>4337</v>
      </c>
    </row>
    <row r="2648" spans="1:4" ht="12.95" customHeight="1" x14ac:dyDescent="0.25">
      <c r="A2648" s="2" t="s">
        <v>401</v>
      </c>
      <c r="B2648" s="2" t="s">
        <v>1007</v>
      </c>
      <c r="C2648" s="5" t="s">
        <v>4338</v>
      </c>
      <c r="D2648" s="2" t="s">
        <v>4339</v>
      </c>
    </row>
    <row r="2649" spans="1:4" ht="12.95" customHeight="1" x14ac:dyDescent="0.25">
      <c r="A2649" s="2" t="s">
        <v>401</v>
      </c>
      <c r="B2649" s="2" t="s">
        <v>1007</v>
      </c>
      <c r="C2649" s="5" t="s">
        <v>4340</v>
      </c>
      <c r="D2649" s="2" t="s">
        <v>4341</v>
      </c>
    </row>
    <row r="2650" spans="1:4" ht="12.95" customHeight="1" x14ac:dyDescent="0.25">
      <c r="A2650" s="2" t="s">
        <v>401</v>
      </c>
      <c r="B2650" s="2" t="s">
        <v>1007</v>
      </c>
      <c r="C2650" s="5" t="s">
        <v>4342</v>
      </c>
      <c r="D2650" s="2" t="s">
        <v>4343</v>
      </c>
    </row>
    <row r="2651" spans="1:4" ht="12.95" customHeight="1" x14ac:dyDescent="0.25">
      <c r="A2651" s="2" t="s">
        <v>401</v>
      </c>
      <c r="B2651" s="2" t="s">
        <v>1007</v>
      </c>
      <c r="C2651" s="5" t="s">
        <v>4344</v>
      </c>
      <c r="D2651" s="2" t="s">
        <v>4345</v>
      </c>
    </row>
    <row r="2652" spans="1:4" ht="12.95" customHeight="1" x14ac:dyDescent="0.25">
      <c r="A2652" s="2" t="s">
        <v>401</v>
      </c>
      <c r="B2652" s="2" t="s">
        <v>1007</v>
      </c>
      <c r="C2652" s="5" t="s">
        <v>4346</v>
      </c>
      <c r="D2652" s="2" t="s">
        <v>4347</v>
      </c>
    </row>
    <row r="2653" spans="1:4" ht="12.95" customHeight="1" x14ac:dyDescent="0.25">
      <c r="A2653" s="2" t="s">
        <v>401</v>
      </c>
      <c r="B2653" s="2" t="s">
        <v>1007</v>
      </c>
      <c r="C2653" s="5" t="s">
        <v>4348</v>
      </c>
      <c r="D2653" s="2" t="s">
        <v>4349</v>
      </c>
    </row>
    <row r="2654" spans="1:4" ht="12.95" customHeight="1" x14ac:dyDescent="0.25">
      <c r="A2654" s="2" t="s">
        <v>401</v>
      </c>
      <c r="B2654" s="2" t="s">
        <v>1007</v>
      </c>
      <c r="C2654" s="5" t="s">
        <v>4350</v>
      </c>
      <c r="D2654" s="2" t="s">
        <v>4351</v>
      </c>
    </row>
    <row r="2655" spans="1:4" ht="12.95" customHeight="1" x14ac:dyDescent="0.25">
      <c r="A2655" s="2" t="s">
        <v>401</v>
      </c>
      <c r="B2655" s="2" t="s">
        <v>1007</v>
      </c>
      <c r="C2655" s="5" t="s">
        <v>4352</v>
      </c>
      <c r="D2655" s="2" t="s">
        <v>4353</v>
      </c>
    </row>
    <row r="2656" spans="1:4" ht="12.95" customHeight="1" x14ac:dyDescent="0.25">
      <c r="A2656" s="2" t="s">
        <v>401</v>
      </c>
      <c r="B2656" s="2" t="s">
        <v>1007</v>
      </c>
      <c r="C2656" s="5" t="s">
        <v>4354</v>
      </c>
      <c r="D2656" s="2" t="s">
        <v>4355</v>
      </c>
    </row>
    <row r="2657" spans="1:4" ht="12.95" customHeight="1" x14ac:dyDescent="0.25">
      <c r="A2657" s="2" t="s">
        <v>401</v>
      </c>
      <c r="B2657" s="2" t="s">
        <v>1007</v>
      </c>
      <c r="C2657" s="5" t="s">
        <v>4356</v>
      </c>
      <c r="D2657" s="2" t="s">
        <v>4357</v>
      </c>
    </row>
    <row r="2658" spans="1:4" ht="12.95" customHeight="1" x14ac:dyDescent="0.25">
      <c r="A2658" s="2" t="s">
        <v>401</v>
      </c>
      <c r="B2658" s="2" t="s">
        <v>1007</v>
      </c>
      <c r="C2658" s="5" t="s">
        <v>4358</v>
      </c>
      <c r="D2658" s="2" t="s">
        <v>4359</v>
      </c>
    </row>
    <row r="2659" spans="1:4" ht="12.95" customHeight="1" x14ac:dyDescent="0.25">
      <c r="A2659" s="2" t="s">
        <v>401</v>
      </c>
      <c r="B2659" s="2" t="s">
        <v>1007</v>
      </c>
      <c r="C2659" s="5" t="s">
        <v>4360</v>
      </c>
      <c r="D2659" s="2" t="s">
        <v>4361</v>
      </c>
    </row>
    <row r="2660" spans="1:4" ht="12.95" customHeight="1" x14ac:dyDescent="0.25">
      <c r="A2660" s="2" t="s">
        <v>401</v>
      </c>
      <c r="B2660" s="2" t="s">
        <v>1007</v>
      </c>
      <c r="C2660" s="5" t="s">
        <v>4362</v>
      </c>
      <c r="D2660" s="2" t="s">
        <v>4363</v>
      </c>
    </row>
    <row r="2661" spans="1:4" ht="12.95" customHeight="1" x14ac:dyDescent="0.25">
      <c r="A2661" s="2" t="s">
        <v>401</v>
      </c>
      <c r="B2661" s="2" t="s">
        <v>1007</v>
      </c>
      <c r="C2661" s="5" t="s">
        <v>4364</v>
      </c>
      <c r="D2661" s="2" t="s">
        <v>4365</v>
      </c>
    </row>
    <row r="2662" spans="1:4" ht="12.95" customHeight="1" x14ac:dyDescent="0.25">
      <c r="A2662" s="2" t="s">
        <v>401</v>
      </c>
      <c r="B2662" s="2" t="s">
        <v>1007</v>
      </c>
      <c r="C2662" s="5" t="s">
        <v>4366</v>
      </c>
      <c r="D2662" s="2" t="s">
        <v>4367</v>
      </c>
    </row>
    <row r="2663" spans="1:4" ht="12.95" customHeight="1" x14ac:dyDescent="0.25">
      <c r="A2663" s="2" t="s">
        <v>401</v>
      </c>
      <c r="B2663" s="2" t="s">
        <v>1007</v>
      </c>
      <c r="C2663" s="5" t="s">
        <v>4368</v>
      </c>
      <c r="D2663" s="2" t="s">
        <v>4369</v>
      </c>
    </row>
    <row r="2664" spans="1:4" ht="12.95" customHeight="1" x14ac:dyDescent="0.25">
      <c r="A2664" s="2" t="s">
        <v>401</v>
      </c>
      <c r="B2664" s="2" t="s">
        <v>1007</v>
      </c>
      <c r="C2664" s="5" t="s">
        <v>4370</v>
      </c>
      <c r="D2664" s="2" t="s">
        <v>4371</v>
      </c>
    </row>
    <row r="2665" spans="1:4" ht="12.95" customHeight="1" x14ac:dyDescent="0.25">
      <c r="A2665" s="2" t="s">
        <v>401</v>
      </c>
      <c r="B2665" s="2" t="s">
        <v>1007</v>
      </c>
      <c r="C2665" s="5" t="s">
        <v>4372</v>
      </c>
      <c r="D2665" s="2" t="s">
        <v>3392</v>
      </c>
    </row>
    <row r="2666" spans="1:4" ht="12.95" customHeight="1" x14ac:dyDescent="0.25">
      <c r="A2666" s="2" t="s">
        <v>401</v>
      </c>
      <c r="B2666" s="2" t="s">
        <v>1007</v>
      </c>
      <c r="C2666" s="5" t="s">
        <v>4373</v>
      </c>
      <c r="D2666" s="2" t="s">
        <v>3394</v>
      </c>
    </row>
    <row r="2667" spans="1:4" ht="12.95" customHeight="1" x14ac:dyDescent="0.25">
      <c r="A2667" s="2" t="s">
        <v>401</v>
      </c>
      <c r="B2667" s="2" t="s">
        <v>1007</v>
      </c>
      <c r="C2667" s="5" t="s">
        <v>4374</v>
      </c>
      <c r="D2667" s="2" t="s">
        <v>4375</v>
      </c>
    </row>
    <row r="2668" spans="1:4" ht="12.95" customHeight="1" x14ac:dyDescent="0.25">
      <c r="A2668" s="2" t="s">
        <v>401</v>
      </c>
      <c r="B2668" s="2" t="s">
        <v>1007</v>
      </c>
      <c r="C2668" s="5" t="s">
        <v>4376</v>
      </c>
      <c r="D2668" s="2" t="s">
        <v>4377</v>
      </c>
    </row>
    <row r="2669" spans="1:4" ht="12.95" customHeight="1" x14ac:dyDescent="0.25">
      <c r="A2669" s="2" t="s">
        <v>401</v>
      </c>
      <c r="B2669" s="2" t="s">
        <v>1007</v>
      </c>
      <c r="C2669" s="5" t="s">
        <v>4378</v>
      </c>
      <c r="D2669" s="2" t="s">
        <v>4379</v>
      </c>
    </row>
    <row r="2670" spans="1:4" ht="12.95" customHeight="1" x14ac:dyDescent="0.25">
      <c r="A2670" s="2" t="s">
        <v>401</v>
      </c>
      <c r="B2670" s="2" t="s">
        <v>1007</v>
      </c>
      <c r="C2670" s="5" t="s">
        <v>4380</v>
      </c>
      <c r="D2670" s="2" t="s">
        <v>4381</v>
      </c>
    </row>
    <row r="2671" spans="1:4" ht="12.95" customHeight="1" x14ac:dyDescent="0.25">
      <c r="A2671" s="2" t="s">
        <v>401</v>
      </c>
      <c r="B2671" s="2" t="s">
        <v>1007</v>
      </c>
      <c r="C2671" s="5" t="s">
        <v>4382</v>
      </c>
      <c r="D2671" s="2" t="s">
        <v>4383</v>
      </c>
    </row>
    <row r="2672" spans="1:4" ht="12.95" customHeight="1" x14ac:dyDescent="0.25">
      <c r="A2672" s="2" t="s">
        <v>401</v>
      </c>
      <c r="B2672" s="2" t="s">
        <v>1007</v>
      </c>
      <c r="C2672" s="5" t="s">
        <v>4384</v>
      </c>
      <c r="D2672" s="2" t="s">
        <v>4205</v>
      </c>
    </row>
    <row r="2673" spans="1:4" ht="12.95" customHeight="1" x14ac:dyDescent="0.25">
      <c r="A2673" s="2" t="s">
        <v>401</v>
      </c>
      <c r="B2673" s="2" t="s">
        <v>1007</v>
      </c>
      <c r="C2673" s="5" t="s">
        <v>4385</v>
      </c>
      <c r="D2673" s="2" t="s">
        <v>4386</v>
      </c>
    </row>
    <row r="2674" spans="1:4" ht="12.95" customHeight="1" x14ac:dyDescent="0.25">
      <c r="A2674" s="2" t="s">
        <v>401</v>
      </c>
      <c r="B2674" s="2" t="s">
        <v>1007</v>
      </c>
      <c r="C2674" s="5" t="s">
        <v>4387</v>
      </c>
      <c r="D2674" s="2" t="s">
        <v>4388</v>
      </c>
    </row>
    <row r="2675" spans="1:4" ht="12.95" customHeight="1" x14ac:dyDescent="0.25">
      <c r="A2675" s="2" t="s">
        <v>401</v>
      </c>
      <c r="B2675" s="2" t="s">
        <v>1007</v>
      </c>
      <c r="C2675" s="5" t="s">
        <v>4389</v>
      </c>
      <c r="D2675" s="2" t="s">
        <v>4390</v>
      </c>
    </row>
    <row r="2676" spans="1:4" ht="12.95" customHeight="1" x14ac:dyDescent="0.25">
      <c r="A2676" s="2" t="s">
        <v>401</v>
      </c>
      <c r="B2676" s="2" t="s">
        <v>1007</v>
      </c>
      <c r="C2676" s="5" t="s">
        <v>4391</v>
      </c>
      <c r="D2676" s="2" t="s">
        <v>4392</v>
      </c>
    </row>
    <row r="2677" spans="1:4" ht="12.95" customHeight="1" x14ac:dyDescent="0.25">
      <c r="A2677" s="2" t="s">
        <v>401</v>
      </c>
      <c r="B2677" s="2" t="s">
        <v>1007</v>
      </c>
      <c r="C2677" s="5" t="s">
        <v>4393</v>
      </c>
      <c r="D2677" s="2" t="s">
        <v>4394</v>
      </c>
    </row>
    <row r="2678" spans="1:4" ht="12.95" customHeight="1" x14ac:dyDescent="0.25">
      <c r="A2678" s="2" t="s">
        <v>401</v>
      </c>
      <c r="B2678" s="2" t="s">
        <v>1007</v>
      </c>
      <c r="C2678" s="5" t="s">
        <v>4395</v>
      </c>
      <c r="D2678" s="2" t="s">
        <v>4396</v>
      </c>
    </row>
    <row r="2679" spans="1:4" ht="12.95" customHeight="1" x14ac:dyDescent="0.25">
      <c r="A2679" s="2" t="s">
        <v>401</v>
      </c>
      <c r="B2679" s="2" t="s">
        <v>1007</v>
      </c>
      <c r="C2679" s="5" t="s">
        <v>4397</v>
      </c>
      <c r="D2679" s="2" t="s">
        <v>3280</v>
      </c>
    </row>
    <row r="2680" spans="1:4" ht="12.95" customHeight="1" x14ac:dyDescent="0.25">
      <c r="A2680" s="2" t="s">
        <v>401</v>
      </c>
      <c r="B2680" s="2" t="s">
        <v>1007</v>
      </c>
      <c r="C2680" s="5" t="s">
        <v>4398</v>
      </c>
      <c r="D2680" s="2" t="s">
        <v>3282</v>
      </c>
    </row>
    <row r="2681" spans="1:4" ht="12.95" customHeight="1" x14ac:dyDescent="0.25">
      <c r="A2681" s="2" t="s">
        <v>401</v>
      </c>
      <c r="B2681" s="2" t="s">
        <v>1007</v>
      </c>
      <c r="C2681" s="5" t="s">
        <v>4399</v>
      </c>
      <c r="D2681" s="2" t="s">
        <v>4400</v>
      </c>
    </row>
    <row r="2682" spans="1:4" ht="12.95" customHeight="1" x14ac:dyDescent="0.25">
      <c r="A2682" s="2" t="s">
        <v>401</v>
      </c>
      <c r="B2682" s="2" t="s">
        <v>1007</v>
      </c>
      <c r="C2682" s="5" t="s">
        <v>4401</v>
      </c>
      <c r="D2682" s="2" t="s">
        <v>4402</v>
      </c>
    </row>
    <row r="2683" spans="1:4" ht="12.95" customHeight="1" x14ac:dyDescent="0.25">
      <c r="A2683" s="2" t="s">
        <v>401</v>
      </c>
      <c r="B2683" s="2" t="s">
        <v>1007</v>
      </c>
      <c r="C2683" s="5" t="s">
        <v>4403</v>
      </c>
      <c r="D2683" s="2" t="s">
        <v>4404</v>
      </c>
    </row>
    <row r="2684" spans="1:4" ht="12.95" customHeight="1" x14ac:dyDescent="0.25">
      <c r="A2684" s="2" t="s">
        <v>401</v>
      </c>
      <c r="B2684" s="2" t="s">
        <v>1007</v>
      </c>
      <c r="C2684" s="5" t="s">
        <v>4405</v>
      </c>
      <c r="D2684" s="2" t="s">
        <v>4406</v>
      </c>
    </row>
    <row r="2685" spans="1:4" ht="12.95" customHeight="1" x14ac:dyDescent="0.25">
      <c r="A2685" s="2" t="s">
        <v>401</v>
      </c>
      <c r="B2685" s="2" t="s">
        <v>1007</v>
      </c>
      <c r="C2685" s="5" t="s">
        <v>4407</v>
      </c>
      <c r="D2685" s="2" t="s">
        <v>4408</v>
      </c>
    </row>
    <row r="2686" spans="1:4" ht="12.95" customHeight="1" x14ac:dyDescent="0.25">
      <c r="A2686" s="2" t="s">
        <v>401</v>
      </c>
      <c r="B2686" s="2" t="s">
        <v>1007</v>
      </c>
      <c r="C2686" s="5" t="s">
        <v>4409</v>
      </c>
      <c r="D2686" s="2" t="s">
        <v>4410</v>
      </c>
    </row>
    <row r="2687" spans="1:4" ht="12.95" customHeight="1" x14ac:dyDescent="0.25">
      <c r="A2687" s="2" t="s">
        <v>401</v>
      </c>
      <c r="B2687" s="2" t="s">
        <v>1007</v>
      </c>
      <c r="C2687" s="5" t="s">
        <v>4411</v>
      </c>
      <c r="D2687" s="2" t="s">
        <v>4412</v>
      </c>
    </row>
    <row r="2688" spans="1:4" ht="12.95" customHeight="1" x14ac:dyDescent="0.25">
      <c r="A2688" s="2" t="s">
        <v>401</v>
      </c>
      <c r="B2688" s="2" t="s">
        <v>1007</v>
      </c>
      <c r="C2688" s="5" t="s">
        <v>4413</v>
      </c>
      <c r="D2688" s="2" t="s">
        <v>4414</v>
      </c>
    </row>
    <row r="2689" spans="1:4" ht="12.95" customHeight="1" x14ac:dyDescent="0.25">
      <c r="A2689" s="2" t="s">
        <v>401</v>
      </c>
      <c r="B2689" s="2" t="s">
        <v>1007</v>
      </c>
      <c r="C2689" s="5" t="s">
        <v>4415</v>
      </c>
      <c r="D2689" s="2" t="s">
        <v>4416</v>
      </c>
    </row>
    <row r="2690" spans="1:4" ht="12.95" customHeight="1" x14ac:dyDescent="0.25">
      <c r="A2690" s="2" t="s">
        <v>401</v>
      </c>
      <c r="B2690" s="2" t="s">
        <v>1007</v>
      </c>
      <c r="C2690" s="5" t="s">
        <v>4417</v>
      </c>
      <c r="D2690" s="2" t="s">
        <v>4418</v>
      </c>
    </row>
    <row r="2691" spans="1:4" ht="12.95" customHeight="1" x14ac:dyDescent="0.25">
      <c r="A2691" s="2" t="s">
        <v>401</v>
      </c>
      <c r="B2691" s="2" t="s">
        <v>1007</v>
      </c>
      <c r="C2691" s="5" t="s">
        <v>4419</v>
      </c>
      <c r="D2691" s="2" t="s">
        <v>4420</v>
      </c>
    </row>
    <row r="2692" spans="1:4" ht="12.95" customHeight="1" x14ac:dyDescent="0.25">
      <c r="A2692" s="2" t="s">
        <v>401</v>
      </c>
      <c r="B2692" s="2" t="s">
        <v>1007</v>
      </c>
      <c r="C2692" s="5" t="s">
        <v>4421</v>
      </c>
      <c r="D2692" s="2" t="s">
        <v>4422</v>
      </c>
    </row>
    <row r="2693" spans="1:4" ht="12.95" customHeight="1" x14ac:dyDescent="0.25">
      <c r="A2693" s="2" t="s">
        <v>401</v>
      </c>
      <c r="B2693" s="2" t="s">
        <v>1007</v>
      </c>
      <c r="C2693" s="5" t="s">
        <v>4423</v>
      </c>
      <c r="D2693" s="2" t="s">
        <v>4424</v>
      </c>
    </row>
    <row r="2694" spans="1:4" ht="12.95" customHeight="1" x14ac:dyDescent="0.25">
      <c r="A2694" s="2" t="s">
        <v>401</v>
      </c>
      <c r="B2694" s="2" t="s">
        <v>1007</v>
      </c>
      <c r="C2694" s="5" t="s">
        <v>4425</v>
      </c>
      <c r="D2694" s="2" t="s">
        <v>4426</v>
      </c>
    </row>
    <row r="2695" spans="1:4" ht="12.95" customHeight="1" x14ac:dyDescent="0.25">
      <c r="A2695" s="2" t="s">
        <v>401</v>
      </c>
      <c r="B2695" s="2" t="s">
        <v>1007</v>
      </c>
      <c r="C2695" s="5" t="s">
        <v>4427</v>
      </c>
      <c r="D2695" s="2" t="s">
        <v>4428</v>
      </c>
    </row>
    <row r="2696" spans="1:4" ht="12.95" customHeight="1" x14ac:dyDescent="0.25">
      <c r="A2696" s="2" t="s">
        <v>401</v>
      </c>
      <c r="B2696" s="2" t="s">
        <v>1007</v>
      </c>
      <c r="C2696" s="5" t="s">
        <v>4429</v>
      </c>
      <c r="D2696" s="2" t="s">
        <v>4430</v>
      </c>
    </row>
    <row r="2697" spans="1:4" ht="12.95" customHeight="1" x14ac:dyDescent="0.25">
      <c r="A2697" s="2" t="s">
        <v>401</v>
      </c>
      <c r="B2697" s="2" t="s">
        <v>1007</v>
      </c>
      <c r="C2697" s="5" t="s">
        <v>4431</v>
      </c>
      <c r="D2697" s="2" t="s">
        <v>4432</v>
      </c>
    </row>
    <row r="2698" spans="1:4" ht="12.95" customHeight="1" x14ac:dyDescent="0.25">
      <c r="A2698" s="2" t="s">
        <v>401</v>
      </c>
      <c r="B2698" s="2" t="s">
        <v>1007</v>
      </c>
      <c r="C2698" s="5" t="s">
        <v>4433</v>
      </c>
      <c r="D2698" s="2" t="s">
        <v>4434</v>
      </c>
    </row>
    <row r="2699" spans="1:4" ht="12.95" customHeight="1" x14ac:dyDescent="0.25">
      <c r="A2699" s="2" t="s">
        <v>401</v>
      </c>
      <c r="B2699" s="2" t="s">
        <v>1007</v>
      </c>
      <c r="C2699" s="5" t="s">
        <v>4435</v>
      </c>
      <c r="D2699" s="2" t="s">
        <v>4436</v>
      </c>
    </row>
    <row r="2700" spans="1:4" ht="12.95" customHeight="1" x14ac:dyDescent="0.25">
      <c r="A2700" s="2" t="s">
        <v>401</v>
      </c>
      <c r="B2700" s="2" t="s">
        <v>1007</v>
      </c>
      <c r="C2700" s="5" t="s">
        <v>4437</v>
      </c>
      <c r="D2700" s="2" t="s">
        <v>3392</v>
      </c>
    </row>
    <row r="2701" spans="1:4" ht="12.95" customHeight="1" x14ac:dyDescent="0.25">
      <c r="A2701" s="2" t="s">
        <v>401</v>
      </c>
      <c r="B2701" s="2" t="s">
        <v>1007</v>
      </c>
      <c r="C2701" s="5" t="s">
        <v>4438</v>
      </c>
      <c r="D2701" s="2" t="s">
        <v>3394</v>
      </c>
    </row>
    <row r="2702" spans="1:4" ht="12.95" customHeight="1" x14ac:dyDescent="0.25">
      <c r="A2702" s="2" t="s">
        <v>401</v>
      </c>
      <c r="B2702" s="2" t="s">
        <v>1007</v>
      </c>
      <c r="C2702" s="5" t="s">
        <v>4439</v>
      </c>
      <c r="D2702" s="2" t="s">
        <v>4440</v>
      </c>
    </row>
    <row r="2703" spans="1:4" ht="12.95" customHeight="1" x14ac:dyDescent="0.25">
      <c r="A2703" s="2" t="s">
        <v>401</v>
      </c>
      <c r="B2703" s="2" t="s">
        <v>1007</v>
      </c>
      <c r="C2703" s="5" t="s">
        <v>4441</v>
      </c>
      <c r="D2703" s="2" t="s">
        <v>4442</v>
      </c>
    </row>
    <row r="2704" spans="1:4" ht="12.95" customHeight="1" x14ac:dyDescent="0.25">
      <c r="A2704" s="2" t="s">
        <v>401</v>
      </c>
      <c r="B2704" s="2" t="s">
        <v>1007</v>
      </c>
      <c r="C2704" s="5" t="s">
        <v>4443</v>
      </c>
      <c r="D2704" s="2" t="s">
        <v>4444</v>
      </c>
    </row>
    <row r="2705" spans="1:4" ht="12.95" customHeight="1" x14ac:dyDescent="0.25">
      <c r="A2705" s="2" t="s">
        <v>401</v>
      </c>
      <c r="B2705" s="2" t="s">
        <v>1007</v>
      </c>
      <c r="C2705" s="5" t="s">
        <v>4445</v>
      </c>
      <c r="D2705" s="2" t="s">
        <v>4205</v>
      </c>
    </row>
    <row r="2706" spans="1:4" ht="12.95" customHeight="1" x14ac:dyDescent="0.25">
      <c r="A2706" s="2" t="s">
        <v>401</v>
      </c>
      <c r="B2706" s="2" t="s">
        <v>1007</v>
      </c>
      <c r="C2706" s="5" t="s">
        <v>4446</v>
      </c>
      <c r="D2706" s="2" t="s">
        <v>4447</v>
      </c>
    </row>
    <row r="2707" spans="1:4" ht="12.95" customHeight="1" x14ac:dyDescent="0.25">
      <c r="A2707" s="2" t="s">
        <v>401</v>
      </c>
      <c r="B2707" s="2" t="s">
        <v>1007</v>
      </c>
      <c r="C2707" s="5" t="s">
        <v>4448</v>
      </c>
      <c r="D2707" s="2" t="s">
        <v>4449</v>
      </c>
    </row>
    <row r="2708" spans="1:4" ht="12.95" customHeight="1" x14ac:dyDescent="0.25">
      <c r="A2708" s="2" t="s">
        <v>401</v>
      </c>
      <c r="B2708" s="2" t="s">
        <v>1007</v>
      </c>
      <c r="C2708" s="5" t="s">
        <v>4450</v>
      </c>
      <c r="D2708" s="2" t="s">
        <v>4451</v>
      </c>
    </row>
    <row r="2709" spans="1:4" ht="12.95" customHeight="1" x14ac:dyDescent="0.25">
      <c r="A2709" s="2" t="s">
        <v>401</v>
      </c>
      <c r="B2709" s="2" t="s">
        <v>1007</v>
      </c>
      <c r="C2709" s="5" t="s">
        <v>4452</v>
      </c>
      <c r="D2709" s="2" t="s">
        <v>4453</v>
      </c>
    </row>
    <row r="2710" spans="1:4" ht="12.95" customHeight="1" x14ac:dyDescent="0.25">
      <c r="A2710" s="2" t="s">
        <v>401</v>
      </c>
      <c r="B2710" s="2" t="s">
        <v>1007</v>
      </c>
      <c r="C2710" s="5" t="s">
        <v>4454</v>
      </c>
      <c r="D2710" s="2" t="s">
        <v>4455</v>
      </c>
    </row>
    <row r="2711" spans="1:4" ht="12.95" customHeight="1" x14ac:dyDescent="0.25">
      <c r="A2711" s="2" t="s">
        <v>401</v>
      </c>
      <c r="B2711" s="2" t="s">
        <v>1007</v>
      </c>
      <c r="C2711" s="5" t="s">
        <v>4456</v>
      </c>
      <c r="D2711" s="2" t="s">
        <v>4457</v>
      </c>
    </row>
    <row r="2712" spans="1:4" ht="12.95" customHeight="1" x14ac:dyDescent="0.25">
      <c r="A2712" s="2" t="s">
        <v>401</v>
      </c>
      <c r="B2712" s="2" t="s">
        <v>1007</v>
      </c>
      <c r="C2712" s="5" t="s">
        <v>4458</v>
      </c>
      <c r="D2712" s="2" t="s">
        <v>4459</v>
      </c>
    </row>
    <row r="2713" spans="1:4" ht="12.95" customHeight="1" x14ac:dyDescent="0.25">
      <c r="A2713" s="2" t="s">
        <v>401</v>
      </c>
      <c r="B2713" s="2" t="s">
        <v>1007</v>
      </c>
      <c r="C2713" s="5" t="s">
        <v>4460</v>
      </c>
      <c r="D2713" s="2" t="s">
        <v>4461</v>
      </c>
    </row>
    <row r="2714" spans="1:4" ht="12.95" customHeight="1" x14ac:dyDescent="0.25">
      <c r="A2714" s="2" t="s">
        <v>401</v>
      </c>
      <c r="B2714" s="2" t="s">
        <v>1007</v>
      </c>
      <c r="C2714" s="5" t="s">
        <v>4462</v>
      </c>
      <c r="D2714" s="2" t="s">
        <v>4463</v>
      </c>
    </row>
    <row r="2715" spans="1:4" ht="12.95" customHeight="1" x14ac:dyDescent="0.25">
      <c r="A2715" s="2" t="s">
        <v>401</v>
      </c>
      <c r="B2715" s="2" t="s">
        <v>1007</v>
      </c>
      <c r="C2715" s="5" t="s">
        <v>4464</v>
      </c>
      <c r="D2715" s="2" t="s">
        <v>4465</v>
      </c>
    </row>
    <row r="2716" spans="1:4" ht="12.95" customHeight="1" x14ac:dyDescent="0.25">
      <c r="A2716" s="2" t="s">
        <v>401</v>
      </c>
      <c r="B2716" s="2" t="s">
        <v>1007</v>
      </c>
      <c r="C2716" s="5" t="s">
        <v>4466</v>
      </c>
      <c r="D2716" s="2" t="s">
        <v>4467</v>
      </c>
    </row>
    <row r="2717" spans="1:4" ht="12.95" customHeight="1" x14ac:dyDescent="0.25">
      <c r="A2717" s="2" t="s">
        <v>401</v>
      </c>
      <c r="B2717" s="2" t="s">
        <v>1007</v>
      </c>
      <c r="C2717" s="5" t="s">
        <v>4468</v>
      </c>
      <c r="D2717" s="2" t="s">
        <v>4469</v>
      </c>
    </row>
    <row r="2718" spans="1:4" ht="12.95" customHeight="1" x14ac:dyDescent="0.25">
      <c r="A2718" s="2" t="s">
        <v>401</v>
      </c>
      <c r="B2718" s="2" t="s">
        <v>1007</v>
      </c>
      <c r="C2718" s="5" t="s">
        <v>4470</v>
      </c>
      <c r="D2718" s="2" t="s">
        <v>4471</v>
      </c>
    </row>
    <row r="2719" spans="1:4" ht="12.95" customHeight="1" x14ac:dyDescent="0.25">
      <c r="A2719" s="2" t="s">
        <v>401</v>
      </c>
      <c r="B2719" s="2" t="s">
        <v>1007</v>
      </c>
      <c r="C2719" s="5" t="s">
        <v>4472</v>
      </c>
      <c r="D2719" s="2" t="s">
        <v>4473</v>
      </c>
    </row>
    <row r="2720" spans="1:4" ht="12.95" customHeight="1" x14ac:dyDescent="0.25">
      <c r="A2720" s="2" t="s">
        <v>401</v>
      </c>
      <c r="B2720" s="2" t="s">
        <v>1007</v>
      </c>
      <c r="C2720" s="5" t="s">
        <v>4474</v>
      </c>
      <c r="D2720" s="2" t="s">
        <v>4475</v>
      </c>
    </row>
    <row r="2721" spans="1:4" ht="12.95" customHeight="1" x14ac:dyDescent="0.25">
      <c r="A2721" s="2" t="s">
        <v>401</v>
      </c>
      <c r="B2721" s="2" t="s">
        <v>1007</v>
      </c>
      <c r="C2721" s="5" t="s">
        <v>4476</v>
      </c>
      <c r="D2721" s="2" t="s">
        <v>4477</v>
      </c>
    </row>
    <row r="2722" spans="1:4" ht="12.95" customHeight="1" x14ac:dyDescent="0.25">
      <c r="A2722" s="2" t="s">
        <v>401</v>
      </c>
      <c r="B2722" s="2" t="s">
        <v>1007</v>
      </c>
      <c r="C2722" s="5" t="s">
        <v>4478</v>
      </c>
      <c r="D2722" s="2" t="s">
        <v>4479</v>
      </c>
    </row>
    <row r="2723" spans="1:4" ht="12.95" customHeight="1" x14ac:dyDescent="0.25">
      <c r="A2723" s="2" t="s">
        <v>401</v>
      </c>
      <c r="B2723" s="2" t="s">
        <v>1007</v>
      </c>
      <c r="C2723" s="5" t="s">
        <v>4480</v>
      </c>
      <c r="D2723" s="2" t="s">
        <v>4481</v>
      </c>
    </row>
    <row r="2724" spans="1:4" ht="12.95" customHeight="1" x14ac:dyDescent="0.25">
      <c r="A2724" s="2" t="s">
        <v>401</v>
      </c>
      <c r="B2724" s="2" t="s">
        <v>1007</v>
      </c>
      <c r="C2724" s="5" t="s">
        <v>4482</v>
      </c>
      <c r="D2724" s="2" t="s">
        <v>4483</v>
      </c>
    </row>
    <row r="2725" spans="1:4" ht="12.95" customHeight="1" x14ac:dyDescent="0.25">
      <c r="A2725" s="2" t="s">
        <v>401</v>
      </c>
      <c r="B2725" s="2" t="s">
        <v>1007</v>
      </c>
      <c r="C2725" s="5" t="s">
        <v>4484</v>
      </c>
      <c r="D2725" s="2" t="s">
        <v>4485</v>
      </c>
    </row>
    <row r="2726" spans="1:4" ht="12.95" customHeight="1" x14ac:dyDescent="0.25">
      <c r="A2726" s="2" t="s">
        <v>401</v>
      </c>
      <c r="B2726" s="2" t="s">
        <v>1007</v>
      </c>
      <c r="C2726" s="5" t="s">
        <v>4486</v>
      </c>
      <c r="D2726" s="2" t="s">
        <v>4487</v>
      </c>
    </row>
    <row r="2727" spans="1:4" ht="12.95" customHeight="1" x14ac:dyDescent="0.25">
      <c r="A2727" s="2" t="s">
        <v>401</v>
      </c>
      <c r="B2727" s="2" t="s">
        <v>1007</v>
      </c>
      <c r="C2727" s="5" t="s">
        <v>4488</v>
      </c>
      <c r="D2727" s="2" t="s">
        <v>4489</v>
      </c>
    </row>
    <row r="2728" spans="1:4" ht="12.95" customHeight="1" x14ac:dyDescent="0.25">
      <c r="A2728" s="2" t="s">
        <v>401</v>
      </c>
      <c r="B2728" s="2" t="s">
        <v>1007</v>
      </c>
      <c r="C2728" s="5" t="s">
        <v>4490</v>
      </c>
      <c r="D2728" s="2" t="s">
        <v>4491</v>
      </c>
    </row>
    <row r="2729" spans="1:4" ht="12.95" customHeight="1" x14ac:dyDescent="0.25">
      <c r="A2729" s="2" t="s">
        <v>401</v>
      </c>
      <c r="B2729" s="2" t="s">
        <v>1007</v>
      </c>
      <c r="C2729" s="5" t="s">
        <v>4492</v>
      </c>
      <c r="D2729" s="2" t="s">
        <v>4493</v>
      </c>
    </row>
    <row r="2730" spans="1:4" ht="12.95" customHeight="1" x14ac:dyDescent="0.25">
      <c r="A2730" s="2" t="s">
        <v>401</v>
      </c>
      <c r="B2730" s="2" t="s">
        <v>1007</v>
      </c>
      <c r="C2730" s="5" t="s">
        <v>4494</v>
      </c>
      <c r="D2730" s="2" t="s">
        <v>4495</v>
      </c>
    </row>
    <row r="2731" spans="1:4" ht="12.95" customHeight="1" x14ac:dyDescent="0.25">
      <c r="A2731" s="2" t="s">
        <v>401</v>
      </c>
      <c r="B2731" s="2" t="s">
        <v>1007</v>
      </c>
      <c r="C2731" s="5" t="s">
        <v>4496</v>
      </c>
      <c r="D2731" s="2" t="s">
        <v>4497</v>
      </c>
    </row>
    <row r="2732" spans="1:4" ht="12.95" customHeight="1" x14ac:dyDescent="0.25">
      <c r="A2732" s="2" t="s">
        <v>401</v>
      </c>
      <c r="B2732" s="2" t="s">
        <v>1007</v>
      </c>
      <c r="C2732" s="5" t="s">
        <v>4498</v>
      </c>
      <c r="D2732" s="2" t="s">
        <v>4499</v>
      </c>
    </row>
    <row r="2733" spans="1:4" ht="12.95" customHeight="1" x14ac:dyDescent="0.25">
      <c r="A2733" s="2" t="s">
        <v>401</v>
      </c>
      <c r="B2733" s="2" t="s">
        <v>1007</v>
      </c>
      <c r="C2733" s="5" t="s">
        <v>4500</v>
      </c>
      <c r="D2733" s="2" t="s">
        <v>4501</v>
      </c>
    </row>
    <row r="2734" spans="1:4" ht="12.95" customHeight="1" x14ac:dyDescent="0.25">
      <c r="A2734" s="2" t="s">
        <v>401</v>
      </c>
      <c r="B2734" s="2" t="s">
        <v>1007</v>
      </c>
      <c r="C2734" s="5" t="s">
        <v>4502</v>
      </c>
      <c r="D2734" s="2" t="s">
        <v>4503</v>
      </c>
    </row>
    <row r="2735" spans="1:4" ht="12.95" customHeight="1" x14ac:dyDescent="0.25">
      <c r="A2735" s="2" t="s">
        <v>401</v>
      </c>
      <c r="B2735" s="2" t="s">
        <v>1007</v>
      </c>
      <c r="C2735" s="5" t="s">
        <v>4504</v>
      </c>
      <c r="D2735" s="2" t="s">
        <v>4505</v>
      </c>
    </row>
    <row r="2736" spans="1:4" ht="12.95" customHeight="1" x14ac:dyDescent="0.25">
      <c r="A2736" s="2" t="s">
        <v>401</v>
      </c>
      <c r="B2736" s="2" t="s">
        <v>1007</v>
      </c>
      <c r="C2736" s="5" t="s">
        <v>4506</v>
      </c>
      <c r="D2736" s="2" t="s">
        <v>4507</v>
      </c>
    </row>
    <row r="2737" spans="1:4" ht="12.95" customHeight="1" x14ac:dyDescent="0.25">
      <c r="A2737" s="2" t="s">
        <v>401</v>
      </c>
      <c r="B2737" s="2" t="s">
        <v>1007</v>
      </c>
      <c r="C2737" s="5" t="s">
        <v>4508</v>
      </c>
      <c r="D2737" s="2" t="s">
        <v>4509</v>
      </c>
    </row>
    <row r="2738" spans="1:4" ht="12.95" customHeight="1" x14ac:dyDescent="0.25">
      <c r="A2738" s="2" t="s">
        <v>401</v>
      </c>
      <c r="B2738" s="2" t="s">
        <v>1007</v>
      </c>
      <c r="C2738" s="5" t="s">
        <v>4510</v>
      </c>
      <c r="D2738" s="2" t="s">
        <v>4511</v>
      </c>
    </row>
    <row r="2739" spans="1:4" ht="12.95" customHeight="1" x14ac:dyDescent="0.25">
      <c r="A2739" s="2" t="s">
        <v>401</v>
      </c>
      <c r="B2739" s="2" t="s">
        <v>1007</v>
      </c>
      <c r="C2739" s="5" t="s">
        <v>4512</v>
      </c>
      <c r="D2739" s="2" t="s">
        <v>4513</v>
      </c>
    </row>
    <row r="2740" spans="1:4" ht="12.95" customHeight="1" x14ac:dyDescent="0.25">
      <c r="A2740" s="2" t="s">
        <v>401</v>
      </c>
      <c r="B2740" s="2" t="s">
        <v>1007</v>
      </c>
      <c r="C2740" s="5" t="s">
        <v>4514</v>
      </c>
      <c r="D2740" s="2" t="s">
        <v>4515</v>
      </c>
    </row>
    <row r="2741" spans="1:4" ht="12.95" customHeight="1" x14ac:dyDescent="0.25">
      <c r="A2741" s="2" t="s">
        <v>401</v>
      </c>
      <c r="B2741" s="2" t="s">
        <v>1007</v>
      </c>
      <c r="C2741" s="5" t="s">
        <v>4516</v>
      </c>
      <c r="D2741" s="2" t="s">
        <v>4517</v>
      </c>
    </row>
    <row r="2742" spans="1:4" ht="12.95" customHeight="1" x14ac:dyDescent="0.25">
      <c r="A2742" s="2" t="s">
        <v>401</v>
      </c>
      <c r="B2742" s="2" t="s">
        <v>1007</v>
      </c>
      <c r="C2742" s="5" t="s">
        <v>4518</v>
      </c>
      <c r="D2742" s="2" t="s">
        <v>4519</v>
      </c>
    </row>
    <row r="2743" spans="1:4" ht="12.95" customHeight="1" x14ac:dyDescent="0.25">
      <c r="A2743" s="2" t="s">
        <v>401</v>
      </c>
      <c r="B2743" s="2" t="s">
        <v>1007</v>
      </c>
      <c r="C2743" s="5" t="s">
        <v>4520</v>
      </c>
      <c r="D2743" s="2" t="s">
        <v>4521</v>
      </c>
    </row>
    <row r="2744" spans="1:4" ht="12.95" customHeight="1" x14ac:dyDescent="0.25">
      <c r="A2744" s="2" t="s">
        <v>401</v>
      </c>
      <c r="B2744" s="2" t="s">
        <v>1007</v>
      </c>
      <c r="C2744" s="5" t="s">
        <v>4522</v>
      </c>
      <c r="D2744" s="2" t="s">
        <v>4523</v>
      </c>
    </row>
    <row r="2745" spans="1:4" ht="12.95" customHeight="1" x14ac:dyDescent="0.25">
      <c r="A2745" s="2" t="s">
        <v>401</v>
      </c>
      <c r="B2745" s="2" t="s">
        <v>1007</v>
      </c>
      <c r="C2745" s="5" t="s">
        <v>4524</v>
      </c>
      <c r="D2745" s="2" t="s">
        <v>4525</v>
      </c>
    </row>
    <row r="2746" spans="1:4" ht="12.95" customHeight="1" x14ac:dyDescent="0.25">
      <c r="A2746" s="2" t="s">
        <v>401</v>
      </c>
      <c r="B2746" s="2" t="s">
        <v>1007</v>
      </c>
      <c r="C2746" s="5" t="s">
        <v>4526</v>
      </c>
      <c r="D2746" s="2" t="s">
        <v>4527</v>
      </c>
    </row>
    <row r="2747" spans="1:4" ht="12.95" customHeight="1" x14ac:dyDescent="0.25">
      <c r="A2747" s="2" t="s">
        <v>401</v>
      </c>
      <c r="B2747" s="2" t="s">
        <v>1007</v>
      </c>
      <c r="C2747" s="5" t="s">
        <v>4528</v>
      </c>
      <c r="D2747" s="2" t="s">
        <v>4529</v>
      </c>
    </row>
    <row r="2748" spans="1:4" ht="12.95" customHeight="1" x14ac:dyDescent="0.25">
      <c r="A2748" s="2" t="s">
        <v>401</v>
      </c>
      <c r="B2748" s="2" t="s">
        <v>1007</v>
      </c>
      <c r="C2748" s="5" t="s">
        <v>4530</v>
      </c>
      <c r="D2748" s="2" t="s">
        <v>4531</v>
      </c>
    </row>
    <row r="2749" spans="1:4" ht="12.95" customHeight="1" x14ac:dyDescent="0.25">
      <c r="A2749" s="2" t="s">
        <v>401</v>
      </c>
      <c r="B2749" s="2" t="s">
        <v>1007</v>
      </c>
      <c r="C2749" s="5" t="s">
        <v>4532</v>
      </c>
      <c r="D2749" s="2" t="s">
        <v>4533</v>
      </c>
    </row>
    <row r="2750" spans="1:4" ht="12.95" customHeight="1" x14ac:dyDescent="0.25">
      <c r="A2750" s="2" t="s">
        <v>401</v>
      </c>
      <c r="B2750" s="2" t="s">
        <v>1007</v>
      </c>
      <c r="C2750" s="5" t="s">
        <v>4534</v>
      </c>
      <c r="D2750" s="2" t="s">
        <v>4535</v>
      </c>
    </row>
    <row r="2751" spans="1:4" ht="12.95" customHeight="1" x14ac:dyDescent="0.25">
      <c r="A2751" s="2" t="s">
        <v>401</v>
      </c>
      <c r="B2751" s="2" t="s">
        <v>1007</v>
      </c>
      <c r="C2751" s="5" t="s">
        <v>4536</v>
      </c>
      <c r="D2751" s="2" t="s">
        <v>3312</v>
      </c>
    </row>
    <row r="2752" spans="1:4" ht="12.95" customHeight="1" x14ac:dyDescent="0.25">
      <c r="A2752" s="2" t="s">
        <v>401</v>
      </c>
      <c r="B2752" s="2" t="s">
        <v>1007</v>
      </c>
      <c r="C2752" s="5" t="s">
        <v>4537</v>
      </c>
      <c r="D2752" s="2" t="s">
        <v>3336</v>
      </c>
    </row>
    <row r="2753" spans="1:4" ht="12.95" customHeight="1" x14ac:dyDescent="0.25">
      <c r="A2753" s="2" t="s">
        <v>401</v>
      </c>
      <c r="B2753" s="2" t="s">
        <v>1007</v>
      </c>
      <c r="C2753" s="5" t="s">
        <v>4538</v>
      </c>
      <c r="D2753" s="2" t="s">
        <v>3513</v>
      </c>
    </row>
    <row r="2754" spans="1:4" ht="12.95" customHeight="1" x14ac:dyDescent="0.25">
      <c r="A2754" s="2" t="s">
        <v>401</v>
      </c>
      <c r="B2754" s="2" t="s">
        <v>1007</v>
      </c>
      <c r="C2754" s="5" t="s">
        <v>4539</v>
      </c>
      <c r="D2754" s="2" t="s">
        <v>3521</v>
      </c>
    </row>
    <row r="2755" spans="1:4" ht="12.95" customHeight="1" x14ac:dyDescent="0.25">
      <c r="A2755" s="2" t="s">
        <v>401</v>
      </c>
      <c r="B2755" s="2" t="s">
        <v>1007</v>
      </c>
      <c r="C2755" s="5" t="s">
        <v>4540</v>
      </c>
      <c r="D2755" s="2" t="s">
        <v>3340</v>
      </c>
    </row>
    <row r="2756" spans="1:4" ht="12.95" customHeight="1" x14ac:dyDescent="0.25">
      <c r="A2756" s="2" t="s">
        <v>401</v>
      </c>
      <c r="B2756" s="2" t="s">
        <v>1007</v>
      </c>
      <c r="C2756" s="5" t="s">
        <v>4541</v>
      </c>
      <c r="D2756" s="2" t="s">
        <v>4542</v>
      </c>
    </row>
    <row r="2757" spans="1:4" ht="12.95" customHeight="1" x14ac:dyDescent="0.25">
      <c r="A2757" s="2" t="s">
        <v>401</v>
      </c>
      <c r="B2757" s="2" t="s">
        <v>1007</v>
      </c>
      <c r="C2757" s="5" t="s">
        <v>4543</v>
      </c>
      <c r="D2757" s="2" t="s">
        <v>4544</v>
      </c>
    </row>
    <row r="2758" spans="1:4" ht="12.95" customHeight="1" x14ac:dyDescent="0.25">
      <c r="A2758" s="2" t="s">
        <v>401</v>
      </c>
      <c r="B2758" s="2" t="s">
        <v>1007</v>
      </c>
      <c r="C2758" s="5" t="s">
        <v>4545</v>
      </c>
      <c r="D2758" s="2" t="s">
        <v>4546</v>
      </c>
    </row>
    <row r="2759" spans="1:4" ht="12.95" customHeight="1" x14ac:dyDescent="0.25">
      <c r="A2759" s="2" t="s">
        <v>401</v>
      </c>
      <c r="B2759" s="2" t="s">
        <v>1007</v>
      </c>
      <c r="C2759" s="5" t="s">
        <v>4547</v>
      </c>
      <c r="D2759" s="2" t="s">
        <v>4548</v>
      </c>
    </row>
    <row r="2760" spans="1:4" ht="12.95" customHeight="1" x14ac:dyDescent="0.25">
      <c r="A2760" s="2" t="s">
        <v>401</v>
      </c>
      <c r="B2760" s="2" t="s">
        <v>1007</v>
      </c>
      <c r="C2760" s="5" t="s">
        <v>4549</v>
      </c>
      <c r="D2760" s="2" t="s">
        <v>4550</v>
      </c>
    </row>
    <row r="2761" spans="1:4" ht="12.95" customHeight="1" x14ac:dyDescent="0.25">
      <c r="A2761" s="2" t="s">
        <v>401</v>
      </c>
      <c r="B2761" s="2" t="s">
        <v>1007</v>
      </c>
      <c r="C2761" s="5" t="s">
        <v>4551</v>
      </c>
      <c r="D2761" s="2" t="s">
        <v>4552</v>
      </c>
    </row>
    <row r="2762" spans="1:4" ht="12.95" customHeight="1" x14ac:dyDescent="0.25">
      <c r="A2762" s="2" t="s">
        <v>401</v>
      </c>
      <c r="B2762" s="2" t="s">
        <v>1007</v>
      </c>
      <c r="C2762" s="5" t="s">
        <v>4553</v>
      </c>
      <c r="D2762" s="2" t="s">
        <v>4554</v>
      </c>
    </row>
    <row r="2763" spans="1:4" ht="12.95" customHeight="1" x14ac:dyDescent="0.25">
      <c r="A2763" s="2" t="s">
        <v>401</v>
      </c>
      <c r="B2763" s="2" t="s">
        <v>1007</v>
      </c>
      <c r="C2763" s="5" t="s">
        <v>4555</v>
      </c>
      <c r="D2763" s="2" t="s">
        <v>4556</v>
      </c>
    </row>
    <row r="2764" spans="1:4" ht="12.95" customHeight="1" x14ac:dyDescent="0.25">
      <c r="A2764" s="2" t="s">
        <v>401</v>
      </c>
      <c r="B2764" s="2" t="s">
        <v>1007</v>
      </c>
      <c r="C2764" s="5" t="s">
        <v>4557</v>
      </c>
      <c r="D2764" s="2" t="s">
        <v>4558</v>
      </c>
    </row>
    <row r="2765" spans="1:4" ht="12.95" customHeight="1" x14ac:dyDescent="0.25">
      <c r="A2765" s="2" t="s">
        <v>401</v>
      </c>
      <c r="B2765" s="2" t="s">
        <v>1007</v>
      </c>
      <c r="C2765" s="5" t="s">
        <v>4559</v>
      </c>
      <c r="D2765" s="2" t="s">
        <v>3392</v>
      </c>
    </row>
    <row r="2766" spans="1:4" ht="12.95" customHeight="1" x14ac:dyDescent="0.25">
      <c r="A2766" s="2" t="s">
        <v>401</v>
      </c>
      <c r="B2766" s="2" t="s">
        <v>1007</v>
      </c>
      <c r="C2766" s="5" t="s">
        <v>4560</v>
      </c>
      <c r="D2766" s="2" t="s">
        <v>3394</v>
      </c>
    </row>
    <row r="2767" spans="1:4" ht="12.95" customHeight="1" x14ac:dyDescent="0.25">
      <c r="A2767" s="2" t="s">
        <v>401</v>
      </c>
      <c r="B2767" s="2" t="s">
        <v>1007</v>
      </c>
      <c r="C2767" s="5" t="s">
        <v>4561</v>
      </c>
      <c r="D2767" s="2" t="s">
        <v>4562</v>
      </c>
    </row>
    <row r="2768" spans="1:4" ht="12.95" customHeight="1" x14ac:dyDescent="0.25">
      <c r="A2768" s="2" t="s">
        <v>401</v>
      </c>
      <c r="B2768" s="2" t="s">
        <v>1007</v>
      </c>
      <c r="C2768" s="5" t="s">
        <v>4563</v>
      </c>
      <c r="D2768" s="2" t="s">
        <v>4564</v>
      </c>
    </row>
    <row r="2769" spans="1:4" ht="12.95" customHeight="1" x14ac:dyDescent="0.25">
      <c r="A2769" s="2" t="s">
        <v>401</v>
      </c>
      <c r="B2769" s="2" t="s">
        <v>1007</v>
      </c>
      <c r="C2769" s="5" t="s">
        <v>4565</v>
      </c>
      <c r="D2769" s="2" t="s">
        <v>4205</v>
      </c>
    </row>
    <row r="2770" spans="1:4" ht="12.95" customHeight="1" x14ac:dyDescent="0.25">
      <c r="A2770" s="2" t="s">
        <v>401</v>
      </c>
      <c r="B2770" s="2" t="s">
        <v>1007</v>
      </c>
      <c r="C2770" s="5" t="s">
        <v>4566</v>
      </c>
      <c r="D2770" s="2" t="s">
        <v>3519</v>
      </c>
    </row>
    <row r="2771" spans="1:4" ht="12.95" customHeight="1" x14ac:dyDescent="0.25">
      <c r="A2771" s="2" t="s">
        <v>401</v>
      </c>
      <c r="B2771" s="2" t="s">
        <v>1007</v>
      </c>
      <c r="C2771" s="5" t="s">
        <v>4567</v>
      </c>
      <c r="D2771" s="2" t="s">
        <v>3521</v>
      </c>
    </row>
    <row r="2772" spans="1:4" ht="12.95" customHeight="1" x14ac:dyDescent="0.25">
      <c r="A2772" s="2" t="s">
        <v>401</v>
      </c>
      <c r="B2772" s="2" t="s">
        <v>1007</v>
      </c>
      <c r="C2772" s="5" t="s">
        <v>4568</v>
      </c>
      <c r="D2772" s="2" t="s">
        <v>3525</v>
      </c>
    </row>
    <row r="2773" spans="1:4" ht="12.95" customHeight="1" x14ac:dyDescent="0.25">
      <c r="A2773" s="2" t="s">
        <v>401</v>
      </c>
      <c r="B2773" s="2" t="s">
        <v>1007</v>
      </c>
      <c r="C2773" s="5" t="s">
        <v>4569</v>
      </c>
      <c r="D2773" s="2" t="s">
        <v>3340</v>
      </c>
    </row>
    <row r="2774" spans="1:4" ht="12.95" customHeight="1" x14ac:dyDescent="0.25">
      <c r="A2774" s="2" t="s">
        <v>401</v>
      </c>
      <c r="B2774" s="2" t="s">
        <v>1007</v>
      </c>
      <c r="C2774" s="5" t="s">
        <v>4570</v>
      </c>
      <c r="D2774" s="2" t="s">
        <v>3348</v>
      </c>
    </row>
    <row r="2775" spans="1:4" ht="12.95" customHeight="1" x14ac:dyDescent="0.25">
      <c r="A2775" s="2" t="s">
        <v>401</v>
      </c>
      <c r="B2775" s="2" t="s">
        <v>1007</v>
      </c>
      <c r="C2775" s="5" t="s">
        <v>4571</v>
      </c>
      <c r="D2775" s="2" t="s">
        <v>4572</v>
      </c>
    </row>
    <row r="2776" spans="1:4" ht="12.95" customHeight="1" x14ac:dyDescent="0.25">
      <c r="A2776" s="2" t="s">
        <v>401</v>
      </c>
      <c r="B2776" s="2" t="s">
        <v>1007</v>
      </c>
      <c r="C2776" s="5" t="s">
        <v>4573</v>
      </c>
      <c r="D2776" s="2" t="s">
        <v>4574</v>
      </c>
    </row>
    <row r="2777" spans="1:4" ht="12.95" customHeight="1" x14ac:dyDescent="0.25">
      <c r="A2777" s="2" t="s">
        <v>401</v>
      </c>
      <c r="B2777" s="2" t="s">
        <v>1007</v>
      </c>
      <c r="C2777" s="5" t="s">
        <v>4575</v>
      </c>
      <c r="D2777" s="2" t="s">
        <v>4576</v>
      </c>
    </row>
    <row r="2778" spans="1:4" ht="12.95" customHeight="1" x14ac:dyDescent="0.25">
      <c r="A2778" s="2" t="s">
        <v>401</v>
      </c>
      <c r="B2778" s="2" t="s">
        <v>1007</v>
      </c>
      <c r="C2778" s="5" t="s">
        <v>4577</v>
      </c>
      <c r="D2778" s="2" t="s">
        <v>4578</v>
      </c>
    </row>
    <row r="2779" spans="1:4" ht="12.95" customHeight="1" x14ac:dyDescent="0.25">
      <c r="A2779" s="2" t="s">
        <v>401</v>
      </c>
      <c r="B2779" s="2" t="s">
        <v>1007</v>
      </c>
      <c r="C2779" s="5" t="s">
        <v>4579</v>
      </c>
      <c r="D2779" s="2" t="s">
        <v>3430</v>
      </c>
    </row>
    <row r="2780" spans="1:4" ht="12.95" customHeight="1" x14ac:dyDescent="0.25">
      <c r="A2780" s="2" t="s">
        <v>401</v>
      </c>
      <c r="B2780" s="2" t="s">
        <v>1007</v>
      </c>
      <c r="C2780" s="5" t="s">
        <v>4580</v>
      </c>
      <c r="D2780" s="2" t="s">
        <v>4581</v>
      </c>
    </row>
    <row r="2781" spans="1:4" ht="12.95" customHeight="1" x14ac:dyDescent="0.25">
      <c r="A2781" s="2" t="s">
        <v>401</v>
      </c>
      <c r="B2781" s="2" t="s">
        <v>1007</v>
      </c>
      <c r="C2781" s="5" t="s">
        <v>4582</v>
      </c>
      <c r="D2781" s="2" t="s">
        <v>4583</v>
      </c>
    </row>
    <row r="2782" spans="1:4" ht="12.95" customHeight="1" x14ac:dyDescent="0.25">
      <c r="A2782" s="2" t="s">
        <v>401</v>
      </c>
      <c r="B2782" s="2" t="s">
        <v>1007</v>
      </c>
      <c r="C2782" s="5" t="s">
        <v>4584</v>
      </c>
      <c r="D2782" s="2" t="s">
        <v>4585</v>
      </c>
    </row>
    <row r="2783" spans="1:4" ht="12.95" customHeight="1" x14ac:dyDescent="0.25">
      <c r="A2783" s="2" t="s">
        <v>401</v>
      </c>
      <c r="B2783" s="2" t="s">
        <v>1007</v>
      </c>
      <c r="C2783" s="5" t="s">
        <v>4586</v>
      </c>
      <c r="D2783" s="2" t="s">
        <v>4587</v>
      </c>
    </row>
    <row r="2784" spans="1:4" ht="12.95" customHeight="1" x14ac:dyDescent="0.25">
      <c r="A2784" s="2" t="s">
        <v>401</v>
      </c>
      <c r="B2784" s="2" t="s">
        <v>1007</v>
      </c>
      <c r="C2784" s="5" t="s">
        <v>4588</v>
      </c>
      <c r="D2784" s="2" t="s">
        <v>4589</v>
      </c>
    </row>
    <row r="2785" spans="1:4" ht="12.95" customHeight="1" x14ac:dyDescent="0.25">
      <c r="A2785" s="2" t="s">
        <v>401</v>
      </c>
      <c r="B2785" s="2" t="s">
        <v>1007</v>
      </c>
      <c r="C2785" s="5" t="s">
        <v>4590</v>
      </c>
      <c r="D2785" s="2" t="s">
        <v>4591</v>
      </c>
    </row>
    <row r="2786" spans="1:4" ht="12.95" customHeight="1" x14ac:dyDescent="0.25">
      <c r="A2786" s="2" t="s">
        <v>401</v>
      </c>
      <c r="B2786" s="2" t="s">
        <v>1007</v>
      </c>
      <c r="C2786" s="5" t="s">
        <v>4592</v>
      </c>
      <c r="D2786" s="2" t="s">
        <v>3392</v>
      </c>
    </row>
    <row r="2787" spans="1:4" ht="12.95" customHeight="1" x14ac:dyDescent="0.25">
      <c r="A2787" s="2" t="s">
        <v>401</v>
      </c>
      <c r="B2787" s="2" t="s">
        <v>1007</v>
      </c>
      <c r="C2787" s="5" t="s">
        <v>4593</v>
      </c>
      <c r="D2787" s="2" t="s">
        <v>3394</v>
      </c>
    </row>
    <row r="2788" spans="1:4" ht="12.95" customHeight="1" x14ac:dyDescent="0.25">
      <c r="A2788" s="2" t="s">
        <v>401</v>
      </c>
      <c r="B2788" s="2" t="s">
        <v>1007</v>
      </c>
      <c r="C2788" s="5" t="s">
        <v>4594</v>
      </c>
      <c r="D2788" s="2" t="s">
        <v>4595</v>
      </c>
    </row>
    <row r="2789" spans="1:4" ht="12.95" customHeight="1" x14ac:dyDescent="0.25">
      <c r="A2789" s="2" t="s">
        <v>401</v>
      </c>
      <c r="B2789" s="2" t="s">
        <v>1007</v>
      </c>
      <c r="C2789" s="5" t="s">
        <v>4596</v>
      </c>
      <c r="D2789" s="2" t="s">
        <v>4597</v>
      </c>
    </row>
    <row r="2790" spans="1:4" ht="12.95" customHeight="1" x14ac:dyDescent="0.25">
      <c r="A2790" s="2" t="s">
        <v>401</v>
      </c>
      <c r="B2790" s="2" t="s">
        <v>1007</v>
      </c>
      <c r="C2790" s="5" t="s">
        <v>4598</v>
      </c>
      <c r="D2790" s="2" t="s">
        <v>4599</v>
      </c>
    </row>
    <row r="2791" spans="1:4" ht="12.95" customHeight="1" x14ac:dyDescent="0.25">
      <c r="A2791" s="2" t="s">
        <v>401</v>
      </c>
      <c r="B2791" s="2" t="s">
        <v>1007</v>
      </c>
      <c r="C2791" s="5" t="s">
        <v>4600</v>
      </c>
      <c r="D2791" s="2" t="s">
        <v>4601</v>
      </c>
    </row>
    <row r="2792" spans="1:4" ht="12.95" customHeight="1" x14ac:dyDescent="0.25">
      <c r="A2792" s="2" t="s">
        <v>401</v>
      </c>
      <c r="B2792" s="2" t="s">
        <v>1007</v>
      </c>
      <c r="C2792" s="5" t="s">
        <v>4602</v>
      </c>
      <c r="D2792" s="2" t="s">
        <v>4603</v>
      </c>
    </row>
    <row r="2793" spans="1:4" ht="12.95" customHeight="1" x14ac:dyDescent="0.25">
      <c r="A2793" s="2" t="s">
        <v>401</v>
      </c>
      <c r="B2793" s="2" t="s">
        <v>1007</v>
      </c>
      <c r="C2793" s="5" t="s">
        <v>4604</v>
      </c>
      <c r="D2793" s="2" t="s">
        <v>4605</v>
      </c>
    </row>
    <row r="2794" spans="1:4" ht="12.95" customHeight="1" x14ac:dyDescent="0.25">
      <c r="A2794" s="2" t="s">
        <v>401</v>
      </c>
      <c r="B2794" s="2" t="s">
        <v>1007</v>
      </c>
      <c r="C2794" s="5" t="s">
        <v>4606</v>
      </c>
      <c r="D2794" s="2" t="s">
        <v>4205</v>
      </c>
    </row>
    <row r="2795" spans="1:4" ht="12.95" customHeight="1" x14ac:dyDescent="0.25">
      <c r="A2795" s="2" t="s">
        <v>401</v>
      </c>
      <c r="B2795" s="2" t="s">
        <v>1007</v>
      </c>
      <c r="C2795" s="5" t="s">
        <v>4607</v>
      </c>
      <c r="D2795" s="2" t="s">
        <v>4608</v>
      </c>
    </row>
    <row r="2796" spans="1:4" ht="12.95" customHeight="1" x14ac:dyDescent="0.25">
      <c r="A2796" s="2" t="s">
        <v>401</v>
      </c>
      <c r="B2796" s="2" t="s">
        <v>1007</v>
      </c>
      <c r="C2796" s="5" t="s">
        <v>4609</v>
      </c>
      <c r="D2796" s="2" t="s">
        <v>4610</v>
      </c>
    </row>
    <row r="2797" spans="1:4" ht="12.95" customHeight="1" x14ac:dyDescent="0.25">
      <c r="A2797" s="2" t="s">
        <v>401</v>
      </c>
      <c r="B2797" s="2" t="s">
        <v>1007</v>
      </c>
      <c r="C2797" s="5" t="s">
        <v>4611</v>
      </c>
      <c r="D2797" s="2" t="s">
        <v>4612</v>
      </c>
    </row>
    <row r="2798" spans="1:4" ht="12.95" customHeight="1" x14ac:dyDescent="0.25">
      <c r="A2798" s="2" t="s">
        <v>401</v>
      </c>
      <c r="B2798" s="2" t="s">
        <v>1007</v>
      </c>
      <c r="C2798" s="5" t="s">
        <v>4613</v>
      </c>
      <c r="D2798" s="2" t="s">
        <v>4614</v>
      </c>
    </row>
    <row r="2799" spans="1:4" ht="12.95" customHeight="1" x14ac:dyDescent="0.25">
      <c r="A2799" s="2" t="s">
        <v>401</v>
      </c>
      <c r="B2799" s="2" t="s">
        <v>1007</v>
      </c>
      <c r="C2799" s="5" t="s">
        <v>4615</v>
      </c>
      <c r="D2799" s="2" t="s">
        <v>4616</v>
      </c>
    </row>
    <row r="2800" spans="1:4" ht="12.95" customHeight="1" x14ac:dyDescent="0.25">
      <c r="A2800" s="2" t="s">
        <v>401</v>
      </c>
      <c r="B2800" s="2" t="s">
        <v>1007</v>
      </c>
      <c r="C2800" s="5" t="s">
        <v>4617</v>
      </c>
      <c r="D2800" s="2" t="s">
        <v>4618</v>
      </c>
    </row>
    <row r="2801" spans="1:4" ht="12.95" customHeight="1" x14ac:dyDescent="0.25">
      <c r="A2801" s="2" t="s">
        <v>401</v>
      </c>
      <c r="B2801" s="2" t="s">
        <v>1007</v>
      </c>
      <c r="C2801" s="5" t="s">
        <v>4619</v>
      </c>
      <c r="D2801" s="2" t="s">
        <v>4453</v>
      </c>
    </row>
    <row r="2802" spans="1:4" ht="12.95" customHeight="1" x14ac:dyDescent="0.25">
      <c r="A2802" s="2" t="s">
        <v>401</v>
      </c>
      <c r="B2802" s="2" t="s">
        <v>1007</v>
      </c>
      <c r="C2802" s="5" t="s">
        <v>4620</v>
      </c>
      <c r="D2802" s="2" t="s">
        <v>4621</v>
      </c>
    </row>
    <row r="2803" spans="1:4" ht="12.95" customHeight="1" x14ac:dyDescent="0.25">
      <c r="A2803" s="2" t="s">
        <v>401</v>
      </c>
      <c r="B2803" s="2" t="s">
        <v>1007</v>
      </c>
      <c r="C2803" s="5" t="s">
        <v>4622</v>
      </c>
      <c r="D2803" s="2" t="s">
        <v>4623</v>
      </c>
    </row>
    <row r="2804" spans="1:4" ht="12.95" customHeight="1" x14ac:dyDescent="0.25">
      <c r="A2804" s="2" t="s">
        <v>401</v>
      </c>
      <c r="B2804" s="2" t="s">
        <v>1007</v>
      </c>
      <c r="C2804" s="5" t="s">
        <v>4624</v>
      </c>
      <c r="D2804" s="2" t="s">
        <v>4625</v>
      </c>
    </row>
    <row r="2805" spans="1:4" ht="12.95" customHeight="1" x14ac:dyDescent="0.25">
      <c r="A2805" s="2" t="s">
        <v>401</v>
      </c>
      <c r="B2805" s="2" t="s">
        <v>1007</v>
      </c>
      <c r="C2805" s="5" t="s">
        <v>4626</v>
      </c>
      <c r="D2805" s="2" t="s">
        <v>4453</v>
      </c>
    </row>
    <row r="2806" spans="1:4" ht="12.95" customHeight="1" x14ac:dyDescent="0.25">
      <c r="A2806" s="2" t="s">
        <v>401</v>
      </c>
      <c r="B2806" s="2" t="s">
        <v>1007</v>
      </c>
      <c r="C2806" s="5" t="s">
        <v>4627</v>
      </c>
      <c r="D2806" s="2" t="s">
        <v>3533</v>
      </c>
    </row>
    <row r="2807" spans="1:4" ht="12.95" customHeight="1" x14ac:dyDescent="0.25">
      <c r="A2807" s="2" t="s">
        <v>401</v>
      </c>
      <c r="B2807" s="2" t="s">
        <v>1007</v>
      </c>
      <c r="C2807" s="5" t="s">
        <v>4628</v>
      </c>
      <c r="D2807" s="2" t="s">
        <v>4629</v>
      </c>
    </row>
    <row r="2808" spans="1:4" ht="12.95" customHeight="1" x14ac:dyDescent="0.25">
      <c r="A2808" s="2" t="s">
        <v>401</v>
      </c>
      <c r="B2808" s="2" t="s">
        <v>1007</v>
      </c>
      <c r="C2808" s="5" t="s">
        <v>4630</v>
      </c>
      <c r="D2808" s="2" t="s">
        <v>4631</v>
      </c>
    </row>
    <row r="2809" spans="1:4" ht="12.95" customHeight="1" x14ac:dyDescent="0.25">
      <c r="A2809" s="2" t="s">
        <v>401</v>
      </c>
      <c r="B2809" s="2" t="s">
        <v>1007</v>
      </c>
      <c r="C2809" s="5" t="s">
        <v>4632</v>
      </c>
      <c r="D2809" s="2" t="s">
        <v>4633</v>
      </c>
    </row>
    <row r="2810" spans="1:4" ht="12.95" customHeight="1" x14ac:dyDescent="0.25">
      <c r="A2810" s="2" t="s">
        <v>401</v>
      </c>
      <c r="B2810" s="2" t="s">
        <v>1007</v>
      </c>
      <c r="C2810" s="5" t="s">
        <v>4634</v>
      </c>
      <c r="D2810" s="2" t="s">
        <v>4635</v>
      </c>
    </row>
    <row r="2811" spans="1:4" ht="12.95" customHeight="1" x14ac:dyDescent="0.25">
      <c r="A2811" s="2" t="s">
        <v>401</v>
      </c>
      <c r="B2811" s="2" t="s">
        <v>1007</v>
      </c>
      <c r="C2811" s="5" t="s">
        <v>4636</v>
      </c>
      <c r="D2811" s="2" t="s">
        <v>3280</v>
      </c>
    </row>
    <row r="2812" spans="1:4" ht="12.95" customHeight="1" x14ac:dyDescent="0.25">
      <c r="A2812" s="2" t="s">
        <v>401</v>
      </c>
      <c r="B2812" s="2" t="s">
        <v>1007</v>
      </c>
      <c r="C2812" s="5" t="s">
        <v>4637</v>
      </c>
      <c r="D2812" s="2" t="s">
        <v>3282</v>
      </c>
    </row>
    <row r="2813" spans="1:4" ht="12.95" customHeight="1" x14ac:dyDescent="0.25">
      <c r="A2813" s="2" t="s">
        <v>401</v>
      </c>
      <c r="B2813" s="2" t="s">
        <v>1007</v>
      </c>
      <c r="C2813" s="5" t="s">
        <v>4638</v>
      </c>
      <c r="D2813" s="2" t="s">
        <v>4639</v>
      </c>
    </row>
    <row r="2814" spans="1:4" ht="12.95" customHeight="1" x14ac:dyDescent="0.25">
      <c r="A2814" s="2" t="s">
        <v>401</v>
      </c>
      <c r="B2814" s="2" t="s">
        <v>1007</v>
      </c>
      <c r="C2814" s="5" t="s">
        <v>4640</v>
      </c>
      <c r="D2814" s="2" t="s">
        <v>4641</v>
      </c>
    </row>
    <row r="2815" spans="1:4" ht="12.95" customHeight="1" x14ac:dyDescent="0.25">
      <c r="A2815" s="2" t="s">
        <v>401</v>
      </c>
      <c r="B2815" s="2" t="s">
        <v>1007</v>
      </c>
      <c r="C2815" s="5" t="s">
        <v>4642</v>
      </c>
      <c r="D2815" s="2" t="s">
        <v>4643</v>
      </c>
    </row>
    <row r="2816" spans="1:4" ht="12.95" customHeight="1" x14ac:dyDescent="0.25">
      <c r="A2816" s="2" t="s">
        <v>401</v>
      </c>
      <c r="B2816" s="2" t="s">
        <v>1007</v>
      </c>
      <c r="C2816" s="5" t="s">
        <v>4644</v>
      </c>
      <c r="D2816" s="2" t="s">
        <v>4645</v>
      </c>
    </row>
    <row r="2817" spans="1:4" ht="12.95" customHeight="1" x14ac:dyDescent="0.25">
      <c r="A2817" s="2" t="s">
        <v>401</v>
      </c>
      <c r="B2817" s="2" t="s">
        <v>1007</v>
      </c>
      <c r="C2817" s="5" t="s">
        <v>4646</v>
      </c>
      <c r="D2817" s="2" t="s">
        <v>4647</v>
      </c>
    </row>
    <row r="2818" spans="1:4" ht="12.95" customHeight="1" x14ac:dyDescent="0.25">
      <c r="A2818" s="2" t="s">
        <v>401</v>
      </c>
      <c r="B2818" s="2" t="s">
        <v>1007</v>
      </c>
      <c r="C2818" s="5" t="s">
        <v>4648</v>
      </c>
      <c r="D2818" s="2" t="s">
        <v>4649</v>
      </c>
    </row>
    <row r="2819" spans="1:4" ht="12.95" customHeight="1" x14ac:dyDescent="0.25">
      <c r="A2819" s="2" t="s">
        <v>401</v>
      </c>
      <c r="B2819" s="2" t="s">
        <v>1007</v>
      </c>
      <c r="C2819" s="5" t="s">
        <v>4650</v>
      </c>
      <c r="D2819" s="2" t="s">
        <v>4651</v>
      </c>
    </row>
    <row r="2820" spans="1:4" ht="12.95" customHeight="1" x14ac:dyDescent="0.25">
      <c r="A2820" s="2" t="s">
        <v>401</v>
      </c>
      <c r="B2820" s="2" t="s">
        <v>1007</v>
      </c>
      <c r="C2820" s="5" t="s">
        <v>4652</v>
      </c>
      <c r="D2820" s="2" t="s">
        <v>4653</v>
      </c>
    </row>
    <row r="2821" spans="1:4" ht="12.95" customHeight="1" x14ac:dyDescent="0.25">
      <c r="A2821" s="2" t="s">
        <v>401</v>
      </c>
      <c r="B2821" s="2" t="s">
        <v>1007</v>
      </c>
      <c r="C2821" s="5" t="s">
        <v>4654</v>
      </c>
      <c r="D2821" s="2" t="s">
        <v>4655</v>
      </c>
    </row>
    <row r="2822" spans="1:4" ht="12.95" customHeight="1" x14ac:dyDescent="0.25">
      <c r="A2822" s="2" t="s">
        <v>401</v>
      </c>
      <c r="B2822" s="2" t="s">
        <v>1007</v>
      </c>
      <c r="C2822" s="5" t="s">
        <v>4656</v>
      </c>
      <c r="D2822" s="2" t="s">
        <v>4657</v>
      </c>
    </row>
    <row r="2823" spans="1:4" ht="12.95" customHeight="1" x14ac:dyDescent="0.25">
      <c r="A2823" s="2" t="s">
        <v>401</v>
      </c>
      <c r="B2823" s="2" t="s">
        <v>1007</v>
      </c>
      <c r="C2823" s="5" t="s">
        <v>4658</v>
      </c>
      <c r="D2823" s="2" t="s">
        <v>4659</v>
      </c>
    </row>
    <row r="2824" spans="1:4" ht="12.95" customHeight="1" x14ac:dyDescent="0.25">
      <c r="A2824" s="2" t="s">
        <v>401</v>
      </c>
      <c r="B2824" s="2" t="s">
        <v>1007</v>
      </c>
      <c r="C2824" s="5" t="s">
        <v>4660</v>
      </c>
      <c r="D2824" s="2" t="s">
        <v>3312</v>
      </c>
    </row>
    <row r="2825" spans="1:4" ht="12.95" customHeight="1" x14ac:dyDescent="0.25">
      <c r="A2825" s="2" t="s">
        <v>401</v>
      </c>
      <c r="B2825" s="2" t="s">
        <v>1007</v>
      </c>
      <c r="C2825" s="5" t="s">
        <v>4661</v>
      </c>
      <c r="D2825" s="2" t="s">
        <v>3336</v>
      </c>
    </row>
    <row r="2826" spans="1:4" ht="12.95" customHeight="1" x14ac:dyDescent="0.25">
      <c r="A2826" s="2" t="s">
        <v>401</v>
      </c>
      <c r="B2826" s="2" t="s">
        <v>1007</v>
      </c>
      <c r="C2826" s="5" t="s">
        <v>4662</v>
      </c>
      <c r="D2826" s="2" t="s">
        <v>3517</v>
      </c>
    </row>
    <row r="2827" spans="1:4" ht="12.95" customHeight="1" x14ac:dyDescent="0.25">
      <c r="A2827" s="2" t="s">
        <v>401</v>
      </c>
      <c r="B2827" s="2" t="s">
        <v>1007</v>
      </c>
      <c r="C2827" s="5" t="s">
        <v>4663</v>
      </c>
      <c r="D2827" s="2" t="s">
        <v>3519</v>
      </c>
    </row>
    <row r="2828" spans="1:4" ht="12.95" customHeight="1" x14ac:dyDescent="0.25">
      <c r="A2828" s="2" t="s">
        <v>401</v>
      </c>
      <c r="B2828" s="2" t="s">
        <v>1007</v>
      </c>
      <c r="C2828" s="5" t="s">
        <v>4664</v>
      </c>
      <c r="D2828" s="2" t="s">
        <v>3521</v>
      </c>
    </row>
    <row r="2829" spans="1:4" ht="12.95" customHeight="1" x14ac:dyDescent="0.25">
      <c r="A2829" s="2" t="s">
        <v>401</v>
      </c>
      <c r="B2829" s="2" t="s">
        <v>1007</v>
      </c>
      <c r="C2829" s="5" t="s">
        <v>4665</v>
      </c>
      <c r="D2829" s="2" t="s">
        <v>3712</v>
      </c>
    </row>
    <row r="2830" spans="1:4" ht="12.95" customHeight="1" x14ac:dyDescent="0.25">
      <c r="A2830" s="2" t="s">
        <v>401</v>
      </c>
      <c r="B2830" s="2" t="s">
        <v>1007</v>
      </c>
      <c r="C2830" s="5" t="s">
        <v>4666</v>
      </c>
      <c r="D2830" s="2" t="s">
        <v>4667</v>
      </c>
    </row>
    <row r="2831" spans="1:4" ht="12.95" customHeight="1" x14ac:dyDescent="0.25">
      <c r="A2831" s="2" t="s">
        <v>401</v>
      </c>
      <c r="B2831" s="2" t="s">
        <v>1007</v>
      </c>
      <c r="C2831" s="5" t="s">
        <v>4668</v>
      </c>
      <c r="D2831" s="2" t="s">
        <v>3340</v>
      </c>
    </row>
    <row r="2832" spans="1:4" ht="12.95" customHeight="1" x14ac:dyDescent="0.25">
      <c r="A2832" s="2" t="s">
        <v>401</v>
      </c>
      <c r="B2832" s="2" t="s">
        <v>1007</v>
      </c>
      <c r="C2832" s="5" t="s">
        <v>4669</v>
      </c>
      <c r="D2832" s="2" t="s">
        <v>3528</v>
      </c>
    </row>
    <row r="2833" spans="1:4" ht="12.95" customHeight="1" x14ac:dyDescent="0.25">
      <c r="A2833" s="2" t="s">
        <v>401</v>
      </c>
      <c r="B2833" s="2" t="s">
        <v>1007</v>
      </c>
      <c r="C2833" s="5" t="s">
        <v>4670</v>
      </c>
      <c r="D2833" s="2" t="s">
        <v>4671</v>
      </c>
    </row>
    <row r="2834" spans="1:4" ht="12.95" customHeight="1" x14ac:dyDescent="0.25">
      <c r="A2834" s="2" t="s">
        <v>401</v>
      </c>
      <c r="B2834" s="2" t="s">
        <v>1007</v>
      </c>
      <c r="C2834" s="5" t="s">
        <v>4672</v>
      </c>
      <c r="D2834" s="2" t="s">
        <v>4673</v>
      </c>
    </row>
    <row r="2835" spans="1:4" ht="12.95" customHeight="1" x14ac:dyDescent="0.25">
      <c r="A2835" s="2" t="s">
        <v>401</v>
      </c>
      <c r="B2835" s="2" t="s">
        <v>1007</v>
      </c>
      <c r="C2835" s="5" t="s">
        <v>4674</v>
      </c>
      <c r="D2835" s="2" t="s">
        <v>3717</v>
      </c>
    </row>
    <row r="2836" spans="1:4" ht="12.95" customHeight="1" x14ac:dyDescent="0.25">
      <c r="A2836" s="2" t="s">
        <v>401</v>
      </c>
      <c r="B2836" s="2" t="s">
        <v>1007</v>
      </c>
      <c r="C2836" s="5" t="s">
        <v>4675</v>
      </c>
      <c r="D2836" s="2" t="s">
        <v>4676</v>
      </c>
    </row>
    <row r="2837" spans="1:4" ht="12.95" customHeight="1" x14ac:dyDescent="0.25">
      <c r="A2837" s="2" t="s">
        <v>401</v>
      </c>
      <c r="B2837" s="2" t="s">
        <v>1007</v>
      </c>
      <c r="C2837" s="5" t="s">
        <v>4677</v>
      </c>
      <c r="D2837" s="2" t="s">
        <v>4678</v>
      </c>
    </row>
    <row r="2838" spans="1:4" ht="12.95" customHeight="1" x14ac:dyDescent="0.25">
      <c r="A2838" s="2" t="s">
        <v>401</v>
      </c>
      <c r="B2838" s="2" t="s">
        <v>1007</v>
      </c>
      <c r="C2838" s="5" t="s">
        <v>4679</v>
      </c>
      <c r="D2838" s="2" t="s">
        <v>4680</v>
      </c>
    </row>
    <row r="2839" spans="1:4" ht="12.95" customHeight="1" x14ac:dyDescent="0.25">
      <c r="A2839" s="2" t="s">
        <v>401</v>
      </c>
      <c r="B2839" s="2" t="s">
        <v>1007</v>
      </c>
      <c r="C2839" s="5" t="s">
        <v>4681</v>
      </c>
      <c r="D2839" s="2" t="s">
        <v>4682</v>
      </c>
    </row>
    <row r="2840" spans="1:4" ht="12.95" customHeight="1" x14ac:dyDescent="0.25">
      <c r="A2840" s="2" t="s">
        <v>401</v>
      </c>
      <c r="B2840" s="2" t="s">
        <v>1007</v>
      </c>
      <c r="C2840" s="5" t="s">
        <v>4683</v>
      </c>
      <c r="D2840" s="2" t="s">
        <v>4684</v>
      </c>
    </row>
    <row r="2841" spans="1:4" ht="12.95" customHeight="1" x14ac:dyDescent="0.25">
      <c r="A2841" s="2" t="s">
        <v>401</v>
      </c>
      <c r="B2841" s="2" t="s">
        <v>1007</v>
      </c>
      <c r="C2841" s="5" t="s">
        <v>4685</v>
      </c>
      <c r="D2841" s="2" t="s">
        <v>4686</v>
      </c>
    </row>
    <row r="2842" spans="1:4" ht="12.95" customHeight="1" x14ac:dyDescent="0.25">
      <c r="A2842" s="2" t="s">
        <v>401</v>
      </c>
      <c r="B2842" s="2" t="s">
        <v>1007</v>
      </c>
      <c r="C2842" s="5" t="s">
        <v>4687</v>
      </c>
      <c r="D2842" s="2" t="s">
        <v>4688</v>
      </c>
    </row>
    <row r="2843" spans="1:4" ht="12.95" customHeight="1" x14ac:dyDescent="0.25">
      <c r="A2843" s="2" t="s">
        <v>401</v>
      </c>
      <c r="B2843" s="2" t="s">
        <v>1007</v>
      </c>
      <c r="C2843" s="5" t="s">
        <v>4689</v>
      </c>
      <c r="D2843" s="2" t="s">
        <v>4690</v>
      </c>
    </row>
    <row r="2844" spans="1:4" ht="12.95" customHeight="1" x14ac:dyDescent="0.25">
      <c r="A2844" s="2" t="s">
        <v>401</v>
      </c>
      <c r="B2844" s="2" t="s">
        <v>1007</v>
      </c>
      <c r="C2844" s="5" t="s">
        <v>4691</v>
      </c>
      <c r="D2844" s="2" t="s">
        <v>4692</v>
      </c>
    </row>
    <row r="2845" spans="1:4" ht="12.95" customHeight="1" x14ac:dyDescent="0.25">
      <c r="A2845" s="2" t="s">
        <v>401</v>
      </c>
      <c r="B2845" s="2" t="s">
        <v>1007</v>
      </c>
      <c r="C2845" s="5" t="s">
        <v>4693</v>
      </c>
      <c r="D2845" s="2" t="s">
        <v>4694</v>
      </c>
    </row>
    <row r="2846" spans="1:4" ht="12.95" customHeight="1" x14ac:dyDescent="0.25">
      <c r="A2846" s="2" t="s">
        <v>401</v>
      </c>
      <c r="B2846" s="2" t="s">
        <v>1007</v>
      </c>
      <c r="C2846" s="5" t="s">
        <v>4695</v>
      </c>
      <c r="D2846" s="2" t="s">
        <v>3392</v>
      </c>
    </row>
    <row r="2847" spans="1:4" ht="12.95" customHeight="1" x14ac:dyDescent="0.25">
      <c r="A2847" s="2" t="s">
        <v>401</v>
      </c>
      <c r="B2847" s="2" t="s">
        <v>1007</v>
      </c>
      <c r="C2847" s="5" t="s">
        <v>4696</v>
      </c>
      <c r="D2847" s="2" t="s">
        <v>3394</v>
      </c>
    </row>
    <row r="2848" spans="1:4" ht="12.95" customHeight="1" x14ac:dyDescent="0.25">
      <c r="A2848" s="2" t="s">
        <v>401</v>
      </c>
      <c r="B2848" s="2" t="s">
        <v>1007</v>
      </c>
      <c r="C2848" s="5" t="s">
        <v>4697</v>
      </c>
      <c r="D2848" s="2" t="s">
        <v>4698</v>
      </c>
    </row>
    <row r="2849" spans="1:4" ht="12.95" customHeight="1" x14ac:dyDescent="0.25">
      <c r="A2849" s="2" t="s">
        <v>401</v>
      </c>
      <c r="B2849" s="2" t="s">
        <v>1007</v>
      </c>
      <c r="C2849" s="5" t="s">
        <v>4699</v>
      </c>
      <c r="D2849" s="2" t="s">
        <v>4700</v>
      </c>
    </row>
    <row r="2850" spans="1:4" ht="12.95" customHeight="1" x14ac:dyDescent="0.25">
      <c r="A2850" s="2" t="s">
        <v>401</v>
      </c>
      <c r="B2850" s="2" t="s">
        <v>1007</v>
      </c>
      <c r="C2850" s="5" t="s">
        <v>4701</v>
      </c>
      <c r="D2850" s="2" t="s">
        <v>4702</v>
      </c>
    </row>
    <row r="2851" spans="1:4" ht="12.95" customHeight="1" x14ac:dyDescent="0.25">
      <c r="A2851" s="2" t="s">
        <v>401</v>
      </c>
      <c r="B2851" s="2" t="s">
        <v>1007</v>
      </c>
      <c r="C2851" s="5" t="s">
        <v>4703</v>
      </c>
      <c r="D2851" s="2" t="s">
        <v>3280</v>
      </c>
    </row>
    <row r="2852" spans="1:4" ht="12.95" customHeight="1" x14ac:dyDescent="0.25">
      <c r="A2852" s="2" t="s">
        <v>401</v>
      </c>
      <c r="B2852" s="2" t="s">
        <v>1007</v>
      </c>
      <c r="C2852" s="5" t="s">
        <v>4704</v>
      </c>
      <c r="D2852" s="2" t="s">
        <v>3394</v>
      </c>
    </row>
    <row r="2853" spans="1:4" ht="12.95" customHeight="1" x14ac:dyDescent="0.25">
      <c r="A2853" s="2" t="s">
        <v>401</v>
      </c>
      <c r="B2853" s="2" t="s">
        <v>1007</v>
      </c>
      <c r="C2853" s="5" t="s">
        <v>4705</v>
      </c>
      <c r="D2853" s="2" t="s">
        <v>4706</v>
      </c>
    </row>
    <row r="2854" spans="1:4" ht="12.95" customHeight="1" x14ac:dyDescent="0.25">
      <c r="A2854" s="2" t="s">
        <v>401</v>
      </c>
      <c r="B2854" s="2" t="s">
        <v>1007</v>
      </c>
      <c r="C2854" s="5" t="s">
        <v>4707</v>
      </c>
      <c r="D2854" s="2" t="s">
        <v>4708</v>
      </c>
    </row>
    <row r="2855" spans="1:4" ht="12.95" customHeight="1" x14ac:dyDescent="0.25">
      <c r="A2855" s="2" t="s">
        <v>401</v>
      </c>
      <c r="B2855" s="2" t="s">
        <v>1007</v>
      </c>
      <c r="C2855" s="5" t="s">
        <v>4709</v>
      </c>
      <c r="D2855" s="2" t="s">
        <v>4710</v>
      </c>
    </row>
    <row r="2856" spans="1:4" ht="12.95" customHeight="1" x14ac:dyDescent="0.25">
      <c r="A2856" s="2" t="s">
        <v>401</v>
      </c>
      <c r="B2856" s="2" t="s">
        <v>1007</v>
      </c>
      <c r="C2856" s="5" t="s">
        <v>4711</v>
      </c>
      <c r="D2856" s="2" t="s">
        <v>4712</v>
      </c>
    </row>
    <row r="2857" spans="1:4" ht="12.95" customHeight="1" x14ac:dyDescent="0.25">
      <c r="A2857" s="2" t="s">
        <v>401</v>
      </c>
      <c r="B2857" s="2" t="s">
        <v>1007</v>
      </c>
      <c r="C2857" s="5" t="s">
        <v>4713</v>
      </c>
      <c r="D2857" s="2" t="s">
        <v>4714</v>
      </c>
    </row>
    <row r="2858" spans="1:4" ht="12.95" customHeight="1" x14ac:dyDescent="0.25">
      <c r="A2858" s="2" t="s">
        <v>401</v>
      </c>
      <c r="B2858" s="2" t="s">
        <v>1007</v>
      </c>
      <c r="C2858" s="5" t="s">
        <v>4715</v>
      </c>
      <c r="D2858" s="2" t="s">
        <v>4716</v>
      </c>
    </row>
    <row r="2859" spans="1:4" ht="12.95" customHeight="1" x14ac:dyDescent="0.25">
      <c r="A2859" s="2" t="s">
        <v>401</v>
      </c>
      <c r="B2859" s="2" t="s">
        <v>1007</v>
      </c>
      <c r="C2859" s="5" t="s">
        <v>4717</v>
      </c>
      <c r="D2859" s="2" t="s">
        <v>4718</v>
      </c>
    </row>
    <row r="2860" spans="1:4" ht="12.95" customHeight="1" x14ac:dyDescent="0.25">
      <c r="A2860" s="2" t="s">
        <v>401</v>
      </c>
      <c r="B2860" s="2" t="s">
        <v>1007</v>
      </c>
      <c r="C2860" s="5" t="s">
        <v>4719</v>
      </c>
      <c r="D2860" s="2" t="s">
        <v>4720</v>
      </c>
    </row>
    <row r="2861" spans="1:4" ht="12.95" customHeight="1" x14ac:dyDescent="0.25">
      <c r="A2861" s="2" t="s">
        <v>401</v>
      </c>
      <c r="B2861" s="2" t="s">
        <v>1007</v>
      </c>
      <c r="C2861" s="5" t="s">
        <v>4721</v>
      </c>
      <c r="D2861" s="2" t="s">
        <v>4722</v>
      </c>
    </row>
    <row r="2862" spans="1:4" ht="12.95" customHeight="1" x14ac:dyDescent="0.25">
      <c r="A2862" s="2" t="s">
        <v>401</v>
      </c>
      <c r="B2862" s="2" t="s">
        <v>1007</v>
      </c>
      <c r="C2862" s="5" t="s">
        <v>4723</v>
      </c>
      <c r="D2862" s="2" t="s">
        <v>4724</v>
      </c>
    </row>
    <row r="2863" spans="1:4" ht="12.95" customHeight="1" x14ac:dyDescent="0.25">
      <c r="A2863" s="2" t="s">
        <v>401</v>
      </c>
      <c r="B2863" s="2" t="s">
        <v>1007</v>
      </c>
      <c r="C2863" s="5" t="s">
        <v>4725</v>
      </c>
      <c r="D2863" s="2" t="s">
        <v>4726</v>
      </c>
    </row>
    <row r="2864" spans="1:4" ht="12.95" customHeight="1" x14ac:dyDescent="0.25">
      <c r="A2864" s="2" t="s">
        <v>401</v>
      </c>
      <c r="B2864" s="2" t="s">
        <v>1007</v>
      </c>
      <c r="C2864" s="5" t="s">
        <v>4727</v>
      </c>
      <c r="D2864" s="2" t="s">
        <v>4728</v>
      </c>
    </row>
    <row r="2865" spans="1:4" ht="12.95" customHeight="1" x14ac:dyDescent="0.25">
      <c r="A2865" s="2" t="s">
        <v>401</v>
      </c>
      <c r="B2865" s="2" t="s">
        <v>1007</v>
      </c>
      <c r="C2865" s="5" t="s">
        <v>4729</v>
      </c>
      <c r="D2865" s="2" t="s">
        <v>4730</v>
      </c>
    </row>
    <row r="2866" spans="1:4" ht="12.95" customHeight="1" x14ac:dyDescent="0.25">
      <c r="A2866" s="2" t="s">
        <v>401</v>
      </c>
      <c r="B2866" s="2" t="s">
        <v>1007</v>
      </c>
      <c r="C2866" s="5" t="s">
        <v>4731</v>
      </c>
      <c r="D2866" s="2" t="s">
        <v>4732</v>
      </c>
    </row>
    <row r="2867" spans="1:4" ht="12.95" customHeight="1" x14ac:dyDescent="0.25">
      <c r="A2867" s="2" t="s">
        <v>401</v>
      </c>
      <c r="B2867" s="2" t="s">
        <v>1007</v>
      </c>
      <c r="C2867" s="5" t="s">
        <v>4733</v>
      </c>
      <c r="D2867" s="2" t="s">
        <v>4734</v>
      </c>
    </row>
    <row r="2868" spans="1:4" ht="12.95" customHeight="1" x14ac:dyDescent="0.25">
      <c r="A2868" s="2" t="s">
        <v>401</v>
      </c>
      <c r="B2868" s="2" t="s">
        <v>1007</v>
      </c>
      <c r="C2868" s="5" t="s">
        <v>4735</v>
      </c>
      <c r="D2868" s="2" t="s">
        <v>4736</v>
      </c>
    </row>
    <row r="2869" spans="1:4" ht="12.95" customHeight="1" x14ac:dyDescent="0.25">
      <c r="A2869" s="2" t="s">
        <v>401</v>
      </c>
      <c r="B2869" s="2" t="s">
        <v>1007</v>
      </c>
      <c r="C2869" s="5" t="s">
        <v>4737</v>
      </c>
      <c r="D2869" s="2" t="s">
        <v>4738</v>
      </c>
    </row>
    <row r="2870" spans="1:4" ht="12.95" customHeight="1" x14ac:dyDescent="0.25">
      <c r="A2870" s="2" t="s">
        <v>401</v>
      </c>
      <c r="B2870" s="2" t="s">
        <v>1007</v>
      </c>
      <c r="C2870" s="5" t="s">
        <v>4739</v>
      </c>
      <c r="D2870" s="2" t="s">
        <v>4740</v>
      </c>
    </row>
    <row r="2871" spans="1:4" ht="12.95" customHeight="1" x14ac:dyDescent="0.25">
      <c r="A2871" s="2" t="s">
        <v>401</v>
      </c>
      <c r="B2871" s="2" t="s">
        <v>1007</v>
      </c>
      <c r="C2871" s="5" t="s">
        <v>4741</v>
      </c>
      <c r="D2871" s="2" t="s">
        <v>4742</v>
      </c>
    </row>
    <row r="2872" spans="1:4" ht="12.95" customHeight="1" x14ac:dyDescent="0.25">
      <c r="A2872" s="2" t="s">
        <v>401</v>
      </c>
      <c r="B2872" s="2" t="s">
        <v>1007</v>
      </c>
      <c r="C2872" s="5" t="s">
        <v>4743</v>
      </c>
      <c r="D2872" s="2" t="s">
        <v>4744</v>
      </c>
    </row>
    <row r="2873" spans="1:4" ht="12.95" customHeight="1" x14ac:dyDescent="0.25">
      <c r="A2873" s="2" t="s">
        <v>401</v>
      </c>
      <c r="B2873" s="2" t="s">
        <v>1007</v>
      </c>
      <c r="C2873" s="5" t="s">
        <v>4745</v>
      </c>
      <c r="D2873" s="2" t="s">
        <v>4746</v>
      </c>
    </row>
    <row r="2874" spans="1:4" ht="12.95" customHeight="1" x14ac:dyDescent="0.25">
      <c r="A2874" s="2" t="s">
        <v>401</v>
      </c>
      <c r="B2874" s="2" t="s">
        <v>1007</v>
      </c>
      <c r="C2874" s="5" t="s">
        <v>4747</v>
      </c>
      <c r="D2874" s="2" t="s">
        <v>4748</v>
      </c>
    </row>
    <row r="2875" spans="1:4" ht="12.95" customHeight="1" x14ac:dyDescent="0.25">
      <c r="A2875" s="2" t="s">
        <v>401</v>
      </c>
      <c r="B2875" s="2" t="s">
        <v>1007</v>
      </c>
      <c r="C2875" s="5" t="s">
        <v>4749</v>
      </c>
      <c r="D2875" s="2" t="s">
        <v>4750</v>
      </c>
    </row>
    <row r="2876" spans="1:4" ht="12.95" customHeight="1" x14ac:dyDescent="0.25">
      <c r="A2876" s="2" t="s">
        <v>401</v>
      </c>
      <c r="B2876" s="2" t="s">
        <v>1007</v>
      </c>
      <c r="C2876" s="5" t="s">
        <v>4751</v>
      </c>
      <c r="D2876" s="2" t="s">
        <v>4752</v>
      </c>
    </row>
    <row r="2877" spans="1:4" ht="12.95" customHeight="1" x14ac:dyDescent="0.25">
      <c r="A2877" s="2" t="s">
        <v>401</v>
      </c>
      <c r="B2877" s="2" t="s">
        <v>1007</v>
      </c>
      <c r="C2877" s="5" t="s">
        <v>4753</v>
      </c>
      <c r="D2877" s="2" t="s">
        <v>4754</v>
      </c>
    </row>
    <row r="2878" spans="1:4" ht="12.95" customHeight="1" x14ac:dyDescent="0.25">
      <c r="A2878" s="2" t="s">
        <v>401</v>
      </c>
      <c r="B2878" s="2" t="s">
        <v>1007</v>
      </c>
      <c r="C2878" s="5" t="s">
        <v>4755</v>
      </c>
      <c r="D2878" s="2" t="s">
        <v>3392</v>
      </c>
    </row>
    <row r="2879" spans="1:4" ht="12.95" customHeight="1" x14ac:dyDescent="0.25">
      <c r="A2879" s="2" t="s">
        <v>401</v>
      </c>
      <c r="B2879" s="2" t="s">
        <v>1007</v>
      </c>
      <c r="C2879" s="5" t="s">
        <v>4756</v>
      </c>
      <c r="D2879" s="2" t="s">
        <v>3394</v>
      </c>
    </row>
    <row r="2880" spans="1:4" ht="12.95" customHeight="1" x14ac:dyDescent="0.25">
      <c r="A2880" s="2" t="s">
        <v>401</v>
      </c>
      <c r="B2880" s="2" t="s">
        <v>1007</v>
      </c>
      <c r="C2880" s="5" t="s">
        <v>4757</v>
      </c>
      <c r="D2880" s="2" t="s">
        <v>4758</v>
      </c>
    </row>
    <row r="2881" spans="1:4" ht="12.95" customHeight="1" x14ac:dyDescent="0.25">
      <c r="A2881" s="2" t="s">
        <v>401</v>
      </c>
      <c r="B2881" s="2" t="s">
        <v>1007</v>
      </c>
      <c r="C2881" s="5" t="s">
        <v>4759</v>
      </c>
      <c r="D2881" s="2" t="s">
        <v>4760</v>
      </c>
    </row>
    <row r="2882" spans="1:4" ht="12.95" customHeight="1" x14ac:dyDescent="0.25">
      <c r="A2882" s="2" t="s">
        <v>401</v>
      </c>
      <c r="B2882" s="2" t="s">
        <v>1007</v>
      </c>
      <c r="C2882" s="5" t="s">
        <v>4761</v>
      </c>
      <c r="D2882" s="2" t="s">
        <v>4762</v>
      </c>
    </row>
    <row r="2883" spans="1:4" ht="12.95" customHeight="1" x14ac:dyDescent="0.25">
      <c r="A2883" s="2" t="s">
        <v>401</v>
      </c>
      <c r="B2883" s="2" t="s">
        <v>1007</v>
      </c>
      <c r="C2883" s="5" t="s">
        <v>4763</v>
      </c>
      <c r="D2883" s="2" t="s">
        <v>4764</v>
      </c>
    </row>
    <row r="2884" spans="1:4" ht="12.95" customHeight="1" x14ac:dyDescent="0.25">
      <c r="A2884" s="2" t="s">
        <v>401</v>
      </c>
      <c r="B2884" s="2" t="s">
        <v>1007</v>
      </c>
      <c r="C2884" s="5" t="s">
        <v>4765</v>
      </c>
      <c r="D2884" s="2" t="s">
        <v>4766</v>
      </c>
    </row>
    <row r="2885" spans="1:4" ht="12.95" customHeight="1" x14ac:dyDescent="0.25">
      <c r="A2885" s="2" t="s">
        <v>401</v>
      </c>
      <c r="B2885" s="2" t="s">
        <v>1007</v>
      </c>
      <c r="C2885" s="5" t="s">
        <v>4767</v>
      </c>
      <c r="D2885" s="2" t="s">
        <v>4768</v>
      </c>
    </row>
    <row r="2886" spans="1:4" ht="12.95" customHeight="1" x14ac:dyDescent="0.25">
      <c r="A2886" s="2" t="s">
        <v>401</v>
      </c>
      <c r="B2886" s="2" t="s">
        <v>1007</v>
      </c>
      <c r="C2886" s="5" t="s">
        <v>4769</v>
      </c>
      <c r="D2886" s="2" t="s">
        <v>3312</v>
      </c>
    </row>
    <row r="2887" spans="1:4" ht="12.95" customHeight="1" x14ac:dyDescent="0.25">
      <c r="A2887" s="2" t="s">
        <v>401</v>
      </c>
      <c r="B2887" s="2" t="s">
        <v>1007</v>
      </c>
      <c r="C2887" s="5" t="s">
        <v>4770</v>
      </c>
      <c r="D2887" s="2" t="s">
        <v>3314</v>
      </c>
    </row>
    <row r="2888" spans="1:4" ht="12.95" customHeight="1" x14ac:dyDescent="0.25">
      <c r="A2888" s="2" t="s">
        <v>401</v>
      </c>
      <c r="B2888" s="2" t="s">
        <v>1007</v>
      </c>
      <c r="C2888" s="5" t="s">
        <v>4771</v>
      </c>
      <c r="D2888" s="2" t="s">
        <v>4772</v>
      </c>
    </row>
    <row r="2889" spans="1:4" ht="12.95" customHeight="1" x14ac:dyDescent="0.25">
      <c r="A2889" s="2" t="s">
        <v>401</v>
      </c>
      <c r="B2889" s="2" t="s">
        <v>1007</v>
      </c>
      <c r="C2889" s="5" t="s">
        <v>4773</v>
      </c>
      <c r="D2889" s="2" t="s">
        <v>4774</v>
      </c>
    </row>
    <row r="2890" spans="1:4" ht="12.95" customHeight="1" x14ac:dyDescent="0.25">
      <c r="A2890" s="2" t="s">
        <v>401</v>
      </c>
      <c r="B2890" s="2" t="s">
        <v>1007</v>
      </c>
      <c r="C2890" s="5" t="s">
        <v>4775</v>
      </c>
      <c r="D2890" s="2" t="s">
        <v>4776</v>
      </c>
    </row>
    <row r="2891" spans="1:4" ht="12.95" customHeight="1" x14ac:dyDescent="0.25">
      <c r="A2891" s="2" t="s">
        <v>401</v>
      </c>
      <c r="B2891" s="2" t="s">
        <v>1007</v>
      </c>
      <c r="C2891" s="5" t="s">
        <v>4777</v>
      </c>
      <c r="D2891" s="2" t="s">
        <v>4778</v>
      </c>
    </row>
    <row r="2892" spans="1:4" ht="12.95" customHeight="1" x14ac:dyDescent="0.25">
      <c r="A2892" s="2" t="s">
        <v>401</v>
      </c>
      <c r="B2892" s="2" t="s">
        <v>1007</v>
      </c>
      <c r="C2892" s="5" t="s">
        <v>4779</v>
      </c>
      <c r="D2892" s="2" t="s">
        <v>4780</v>
      </c>
    </row>
    <row r="2893" spans="1:4" ht="12.95" customHeight="1" x14ac:dyDescent="0.25">
      <c r="A2893" s="2" t="s">
        <v>401</v>
      </c>
      <c r="B2893" s="2" t="s">
        <v>1007</v>
      </c>
      <c r="C2893" s="5" t="s">
        <v>4781</v>
      </c>
      <c r="D2893" s="2" t="s">
        <v>4782</v>
      </c>
    </row>
    <row r="2894" spans="1:4" ht="12.95" customHeight="1" x14ac:dyDescent="0.25">
      <c r="A2894" s="2" t="s">
        <v>401</v>
      </c>
      <c r="B2894" s="2" t="s">
        <v>1007</v>
      </c>
      <c r="C2894" s="5" t="s">
        <v>4783</v>
      </c>
      <c r="D2894" s="2" t="s">
        <v>4784</v>
      </c>
    </row>
    <row r="2895" spans="1:4" ht="12.95" customHeight="1" x14ac:dyDescent="0.25">
      <c r="A2895" s="2" t="s">
        <v>401</v>
      </c>
      <c r="B2895" s="2" t="s">
        <v>1007</v>
      </c>
      <c r="C2895" s="5" t="s">
        <v>4785</v>
      </c>
      <c r="D2895" s="2" t="s">
        <v>4786</v>
      </c>
    </row>
    <row r="2896" spans="1:4" ht="12.95" customHeight="1" x14ac:dyDescent="0.25">
      <c r="A2896" s="2" t="s">
        <v>401</v>
      </c>
      <c r="B2896" s="2" t="s">
        <v>1007</v>
      </c>
      <c r="C2896" s="5" t="s">
        <v>4787</v>
      </c>
      <c r="D2896" s="2" t="s">
        <v>4788</v>
      </c>
    </row>
    <row r="2897" spans="1:4" ht="12.95" customHeight="1" x14ac:dyDescent="0.25">
      <c r="A2897" s="2" t="s">
        <v>401</v>
      </c>
      <c r="B2897" s="2" t="s">
        <v>1007</v>
      </c>
      <c r="C2897" s="5" t="s">
        <v>4789</v>
      </c>
      <c r="D2897" s="2" t="s">
        <v>4790</v>
      </c>
    </row>
    <row r="2898" spans="1:4" ht="12.95" customHeight="1" x14ac:dyDescent="0.25">
      <c r="A2898" s="2" t="s">
        <v>401</v>
      </c>
      <c r="B2898" s="2" t="s">
        <v>1007</v>
      </c>
      <c r="C2898" s="5" t="s">
        <v>4791</v>
      </c>
      <c r="D2898" s="2" t="s">
        <v>1196</v>
      </c>
    </row>
    <row r="2899" spans="1:4" ht="12.95" customHeight="1" x14ac:dyDescent="0.25">
      <c r="A2899" s="2" t="s">
        <v>401</v>
      </c>
      <c r="B2899" s="2" t="s">
        <v>1007</v>
      </c>
      <c r="C2899" s="5" t="s">
        <v>4792</v>
      </c>
      <c r="D2899" s="2" t="s">
        <v>4793</v>
      </c>
    </row>
    <row r="2900" spans="1:4" ht="12.95" customHeight="1" x14ac:dyDescent="0.25">
      <c r="A2900" s="2" t="s">
        <v>401</v>
      </c>
      <c r="B2900" s="2" t="s">
        <v>1007</v>
      </c>
      <c r="C2900" s="5" t="s">
        <v>4794</v>
      </c>
      <c r="D2900" s="2" t="s">
        <v>4795</v>
      </c>
    </row>
    <row r="2901" spans="1:4" ht="12.95" customHeight="1" x14ac:dyDescent="0.25">
      <c r="A2901" s="2" t="s">
        <v>401</v>
      </c>
      <c r="B2901" s="2" t="s">
        <v>1007</v>
      </c>
      <c r="C2901" s="5" t="s">
        <v>4796</v>
      </c>
      <c r="D2901" s="2" t="s">
        <v>4797</v>
      </c>
    </row>
    <row r="2902" spans="1:4" ht="12.95" customHeight="1" x14ac:dyDescent="0.25">
      <c r="A2902" s="2" t="s">
        <v>401</v>
      </c>
      <c r="B2902" s="2" t="s">
        <v>1007</v>
      </c>
      <c r="C2902" s="5" t="s">
        <v>4798</v>
      </c>
      <c r="D2902" s="2" t="s">
        <v>4799</v>
      </c>
    </row>
    <row r="2903" spans="1:4" ht="12.95" customHeight="1" x14ac:dyDescent="0.25">
      <c r="A2903" s="2" t="s">
        <v>401</v>
      </c>
      <c r="B2903" s="2" t="s">
        <v>1007</v>
      </c>
      <c r="C2903" s="5" t="s">
        <v>4800</v>
      </c>
      <c r="D2903" s="2" t="s">
        <v>4801</v>
      </c>
    </row>
    <row r="2904" spans="1:4" ht="12.95" customHeight="1" x14ac:dyDescent="0.25">
      <c r="A2904" s="2" t="s">
        <v>401</v>
      </c>
      <c r="B2904" s="2" t="s">
        <v>1007</v>
      </c>
      <c r="C2904" s="5" t="s">
        <v>4802</v>
      </c>
      <c r="D2904" s="2" t="s">
        <v>4803</v>
      </c>
    </row>
    <row r="2905" spans="1:4" ht="12.95" customHeight="1" x14ac:dyDescent="0.25">
      <c r="A2905" s="2" t="s">
        <v>401</v>
      </c>
      <c r="B2905" s="2" t="s">
        <v>1007</v>
      </c>
      <c r="C2905" s="5" t="s">
        <v>4804</v>
      </c>
      <c r="D2905" s="2" t="s">
        <v>4805</v>
      </c>
    </row>
    <row r="2906" spans="1:4" ht="12.95" customHeight="1" x14ac:dyDescent="0.25">
      <c r="A2906" s="2" t="s">
        <v>401</v>
      </c>
      <c r="B2906" s="2" t="s">
        <v>1007</v>
      </c>
      <c r="C2906" s="5" t="s">
        <v>4806</v>
      </c>
      <c r="D2906" s="2" t="s">
        <v>4807</v>
      </c>
    </row>
    <row r="2907" spans="1:4" ht="12.95" customHeight="1" x14ac:dyDescent="0.25">
      <c r="A2907" s="2" t="s">
        <v>401</v>
      </c>
      <c r="B2907" s="2" t="s">
        <v>1007</v>
      </c>
      <c r="C2907" s="5" t="s">
        <v>4808</v>
      </c>
      <c r="D2907" s="2" t="s">
        <v>4809</v>
      </c>
    </row>
    <row r="2908" spans="1:4" ht="12.95" customHeight="1" x14ac:dyDescent="0.25">
      <c r="A2908" s="2" t="s">
        <v>401</v>
      </c>
      <c r="B2908" s="2" t="s">
        <v>1007</v>
      </c>
      <c r="C2908" s="5" t="s">
        <v>4810</v>
      </c>
      <c r="D2908" s="2" t="s">
        <v>4811</v>
      </c>
    </row>
    <row r="2909" spans="1:4" ht="12.95" customHeight="1" x14ac:dyDescent="0.25">
      <c r="A2909" s="2" t="s">
        <v>401</v>
      </c>
      <c r="B2909" s="2" t="s">
        <v>1007</v>
      </c>
      <c r="C2909" s="5" t="s">
        <v>4812</v>
      </c>
      <c r="D2909" s="2" t="s">
        <v>4813</v>
      </c>
    </row>
    <row r="2910" spans="1:4" ht="12.95" customHeight="1" x14ac:dyDescent="0.25">
      <c r="A2910" s="2" t="s">
        <v>401</v>
      </c>
      <c r="B2910" s="2" t="s">
        <v>1007</v>
      </c>
      <c r="C2910" s="5" t="s">
        <v>4814</v>
      </c>
      <c r="D2910" s="2" t="s">
        <v>4815</v>
      </c>
    </row>
    <row r="2911" spans="1:4" ht="12.95" customHeight="1" x14ac:dyDescent="0.25">
      <c r="A2911" s="2" t="s">
        <v>401</v>
      </c>
      <c r="B2911" s="2" t="s">
        <v>1007</v>
      </c>
      <c r="C2911" s="5" t="s">
        <v>4816</v>
      </c>
      <c r="D2911" s="2" t="s">
        <v>4817</v>
      </c>
    </row>
    <row r="2912" spans="1:4" ht="12.95" customHeight="1" x14ac:dyDescent="0.25">
      <c r="A2912" s="2" t="s">
        <v>401</v>
      </c>
      <c r="B2912" s="2" t="s">
        <v>1007</v>
      </c>
      <c r="C2912" s="5" t="s">
        <v>4818</v>
      </c>
      <c r="D2912" s="2" t="s">
        <v>4819</v>
      </c>
    </row>
    <row r="2913" spans="1:4" ht="12.95" customHeight="1" x14ac:dyDescent="0.25">
      <c r="A2913" s="2" t="s">
        <v>401</v>
      </c>
      <c r="B2913" s="2" t="s">
        <v>1007</v>
      </c>
      <c r="C2913" s="5" t="s">
        <v>4820</v>
      </c>
      <c r="D2913" s="2" t="s">
        <v>4821</v>
      </c>
    </row>
    <row r="2914" spans="1:4" ht="12.95" customHeight="1" x14ac:dyDescent="0.25">
      <c r="A2914" s="2" t="s">
        <v>401</v>
      </c>
      <c r="B2914" s="2" t="s">
        <v>1007</v>
      </c>
      <c r="C2914" s="5" t="s">
        <v>4822</v>
      </c>
      <c r="D2914" s="2" t="s">
        <v>4823</v>
      </c>
    </row>
    <row r="2915" spans="1:4" ht="12.95" customHeight="1" x14ac:dyDescent="0.25">
      <c r="A2915" s="2" t="s">
        <v>401</v>
      </c>
      <c r="B2915" s="2" t="s">
        <v>1007</v>
      </c>
      <c r="C2915" s="5" t="s">
        <v>4824</v>
      </c>
      <c r="D2915" s="2" t="s">
        <v>3392</v>
      </c>
    </row>
    <row r="2916" spans="1:4" ht="12.95" customHeight="1" x14ac:dyDescent="0.25">
      <c r="A2916" s="2" t="s">
        <v>401</v>
      </c>
      <c r="B2916" s="2" t="s">
        <v>1007</v>
      </c>
      <c r="C2916" s="5" t="s">
        <v>4825</v>
      </c>
      <c r="D2916" s="2" t="s">
        <v>3394</v>
      </c>
    </row>
    <row r="2917" spans="1:4" ht="12.95" customHeight="1" x14ac:dyDescent="0.25">
      <c r="A2917" s="2" t="s">
        <v>401</v>
      </c>
      <c r="B2917" s="2" t="s">
        <v>1007</v>
      </c>
      <c r="C2917" s="5" t="s">
        <v>4826</v>
      </c>
      <c r="D2917" s="2" t="s">
        <v>4827</v>
      </c>
    </row>
    <row r="2918" spans="1:4" ht="12.95" customHeight="1" x14ac:dyDescent="0.25">
      <c r="A2918" s="2" t="s">
        <v>401</v>
      </c>
      <c r="B2918" s="2" t="s">
        <v>1007</v>
      </c>
      <c r="C2918" s="5" t="s">
        <v>4828</v>
      </c>
      <c r="D2918" s="2" t="s">
        <v>4829</v>
      </c>
    </row>
    <row r="2919" spans="1:4" ht="12.95" customHeight="1" x14ac:dyDescent="0.25">
      <c r="A2919" s="2" t="s">
        <v>401</v>
      </c>
      <c r="B2919" s="2" t="s">
        <v>1007</v>
      </c>
      <c r="C2919" s="5" t="s">
        <v>4830</v>
      </c>
      <c r="D2919" s="2" t="s">
        <v>4831</v>
      </c>
    </row>
    <row r="2920" spans="1:4" ht="12.95" customHeight="1" x14ac:dyDescent="0.25">
      <c r="A2920" s="2" t="s">
        <v>401</v>
      </c>
      <c r="B2920" s="2" t="s">
        <v>1007</v>
      </c>
      <c r="C2920" s="5" t="s">
        <v>4832</v>
      </c>
      <c r="D2920" s="2" t="s">
        <v>4833</v>
      </c>
    </row>
    <row r="2921" spans="1:4" ht="12.95" customHeight="1" x14ac:dyDescent="0.25">
      <c r="A2921" s="2" t="s">
        <v>401</v>
      </c>
      <c r="B2921" s="2" t="s">
        <v>1007</v>
      </c>
      <c r="C2921" s="5" t="s">
        <v>4834</v>
      </c>
      <c r="D2921" s="2" t="s">
        <v>3495</v>
      </c>
    </row>
    <row r="2922" spans="1:4" ht="12.95" customHeight="1" x14ac:dyDescent="0.25">
      <c r="A2922" s="2" t="s">
        <v>401</v>
      </c>
      <c r="B2922" s="2" t="s">
        <v>1007</v>
      </c>
      <c r="C2922" s="5" t="s">
        <v>4835</v>
      </c>
      <c r="D2922" s="2" t="s">
        <v>4017</v>
      </c>
    </row>
    <row r="2923" spans="1:4" ht="12.95" customHeight="1" x14ac:dyDescent="0.25">
      <c r="A2923" s="2" t="s">
        <v>401</v>
      </c>
      <c r="B2923" s="2" t="s">
        <v>1007</v>
      </c>
      <c r="C2923" s="5" t="s">
        <v>4836</v>
      </c>
      <c r="D2923" s="2" t="s">
        <v>3312</v>
      </c>
    </row>
    <row r="2924" spans="1:4" ht="12.95" customHeight="1" x14ac:dyDescent="0.25">
      <c r="A2924" s="2" t="s">
        <v>401</v>
      </c>
      <c r="B2924" s="2" t="s">
        <v>1007</v>
      </c>
      <c r="C2924" s="5" t="s">
        <v>4837</v>
      </c>
      <c r="D2924" s="2" t="s">
        <v>3336</v>
      </c>
    </row>
    <row r="2925" spans="1:4" ht="12.95" customHeight="1" x14ac:dyDescent="0.25">
      <c r="A2925" s="2" t="s">
        <v>401</v>
      </c>
      <c r="B2925" s="2" t="s">
        <v>1007</v>
      </c>
      <c r="C2925" s="5" t="s">
        <v>4838</v>
      </c>
      <c r="D2925" s="2" t="s">
        <v>3513</v>
      </c>
    </row>
    <row r="2926" spans="1:4" ht="12.95" customHeight="1" x14ac:dyDescent="0.25">
      <c r="A2926" s="2" t="s">
        <v>401</v>
      </c>
      <c r="B2926" s="2" t="s">
        <v>1007</v>
      </c>
      <c r="C2926" s="5" t="s">
        <v>4839</v>
      </c>
      <c r="D2926" s="2" t="s">
        <v>3517</v>
      </c>
    </row>
    <row r="2927" spans="1:4" ht="12.95" customHeight="1" x14ac:dyDescent="0.25">
      <c r="A2927" s="2" t="s">
        <v>401</v>
      </c>
      <c r="B2927" s="2" t="s">
        <v>1007</v>
      </c>
      <c r="C2927" s="5" t="s">
        <v>4840</v>
      </c>
      <c r="D2927" s="2" t="s">
        <v>3519</v>
      </c>
    </row>
    <row r="2928" spans="1:4" ht="12.95" customHeight="1" x14ac:dyDescent="0.25">
      <c r="A2928" s="2" t="s">
        <v>401</v>
      </c>
      <c r="B2928" s="2" t="s">
        <v>1007</v>
      </c>
      <c r="C2928" s="5" t="s">
        <v>4841</v>
      </c>
      <c r="D2928" s="2" t="s">
        <v>3521</v>
      </c>
    </row>
    <row r="2929" spans="1:4" ht="12.95" customHeight="1" x14ac:dyDescent="0.25">
      <c r="A2929" s="2" t="s">
        <v>401</v>
      </c>
      <c r="B2929" s="2" t="s">
        <v>1007</v>
      </c>
      <c r="C2929" s="5" t="s">
        <v>4842</v>
      </c>
      <c r="D2929" s="2" t="s">
        <v>3712</v>
      </c>
    </row>
    <row r="2930" spans="1:4" ht="12.95" customHeight="1" x14ac:dyDescent="0.25">
      <c r="A2930" s="2" t="s">
        <v>401</v>
      </c>
      <c r="B2930" s="2" t="s">
        <v>1007</v>
      </c>
      <c r="C2930" s="5" t="s">
        <v>4843</v>
      </c>
      <c r="D2930" s="2" t="s">
        <v>3525</v>
      </c>
    </row>
    <row r="2931" spans="1:4" ht="12.95" customHeight="1" x14ac:dyDescent="0.25">
      <c r="A2931" s="2" t="s">
        <v>401</v>
      </c>
      <c r="B2931" s="2" t="s">
        <v>1007</v>
      </c>
      <c r="C2931" s="5" t="s">
        <v>4844</v>
      </c>
      <c r="D2931" s="2" t="s">
        <v>3340</v>
      </c>
    </row>
    <row r="2932" spans="1:4" ht="12.95" customHeight="1" x14ac:dyDescent="0.25">
      <c r="A2932" s="2" t="s">
        <v>401</v>
      </c>
      <c r="B2932" s="2" t="s">
        <v>1007</v>
      </c>
      <c r="C2932" s="5" t="s">
        <v>4845</v>
      </c>
      <c r="D2932" s="2" t="s">
        <v>3528</v>
      </c>
    </row>
    <row r="2933" spans="1:4" ht="12.95" customHeight="1" x14ac:dyDescent="0.25">
      <c r="A2933" s="2" t="s">
        <v>401</v>
      </c>
      <c r="B2933" s="2" t="s">
        <v>1007</v>
      </c>
      <c r="C2933" s="5" t="s">
        <v>4846</v>
      </c>
      <c r="D2933" s="2" t="s">
        <v>3344</v>
      </c>
    </row>
    <row r="2934" spans="1:4" ht="12.95" customHeight="1" x14ac:dyDescent="0.25">
      <c r="A2934" s="2" t="s">
        <v>401</v>
      </c>
      <c r="B2934" s="2" t="s">
        <v>1007</v>
      </c>
      <c r="C2934" s="5" t="s">
        <v>4847</v>
      </c>
      <c r="D2934" s="2" t="s">
        <v>4848</v>
      </c>
    </row>
    <row r="2935" spans="1:4" ht="12.95" customHeight="1" x14ac:dyDescent="0.25">
      <c r="A2935" s="2" t="s">
        <v>401</v>
      </c>
      <c r="B2935" s="2" t="s">
        <v>1007</v>
      </c>
      <c r="C2935" s="5" t="s">
        <v>4849</v>
      </c>
      <c r="D2935" s="2" t="s">
        <v>3533</v>
      </c>
    </row>
    <row r="2936" spans="1:4" ht="12.95" customHeight="1" x14ac:dyDescent="0.25">
      <c r="A2936" s="2" t="s">
        <v>401</v>
      </c>
      <c r="B2936" s="2" t="s">
        <v>1007</v>
      </c>
      <c r="C2936" s="5" t="s">
        <v>4850</v>
      </c>
      <c r="D2936" s="2" t="s">
        <v>4851</v>
      </c>
    </row>
    <row r="2937" spans="1:4" ht="12.95" customHeight="1" x14ac:dyDescent="0.25">
      <c r="A2937" s="2" t="s">
        <v>401</v>
      </c>
      <c r="B2937" s="2" t="s">
        <v>1007</v>
      </c>
      <c r="C2937" s="5" t="s">
        <v>4852</v>
      </c>
      <c r="D2937" s="2" t="s">
        <v>4853</v>
      </c>
    </row>
    <row r="2938" spans="1:4" ht="12.95" customHeight="1" x14ac:dyDescent="0.25">
      <c r="A2938" s="2" t="s">
        <v>401</v>
      </c>
      <c r="B2938" s="2" t="s">
        <v>1007</v>
      </c>
      <c r="C2938" s="5" t="s">
        <v>4854</v>
      </c>
      <c r="D2938" s="2" t="s">
        <v>4855</v>
      </c>
    </row>
    <row r="2939" spans="1:4" ht="12.95" customHeight="1" x14ac:dyDescent="0.25">
      <c r="A2939" s="2" t="s">
        <v>401</v>
      </c>
      <c r="B2939" s="2" t="s">
        <v>1007</v>
      </c>
      <c r="C2939" s="5" t="s">
        <v>4856</v>
      </c>
      <c r="D2939" s="2" t="s">
        <v>4857</v>
      </c>
    </row>
    <row r="2940" spans="1:4" ht="12.95" customHeight="1" x14ac:dyDescent="0.25">
      <c r="A2940" s="2" t="s">
        <v>401</v>
      </c>
      <c r="B2940" s="2" t="s">
        <v>1007</v>
      </c>
      <c r="C2940" s="5" t="s">
        <v>4858</v>
      </c>
      <c r="D2940" s="2" t="s">
        <v>4859</v>
      </c>
    </row>
    <row r="2941" spans="1:4" ht="12.95" customHeight="1" x14ac:dyDescent="0.25">
      <c r="A2941" s="2" t="s">
        <v>401</v>
      </c>
      <c r="B2941" s="2" t="s">
        <v>1007</v>
      </c>
      <c r="C2941" s="5" t="s">
        <v>4860</v>
      </c>
      <c r="D2941" s="2" t="s">
        <v>4861</v>
      </c>
    </row>
    <row r="2942" spans="1:4" ht="12.95" customHeight="1" x14ac:dyDescent="0.25">
      <c r="A2942" s="2" t="s">
        <v>401</v>
      </c>
      <c r="B2942" s="2" t="s">
        <v>1007</v>
      </c>
      <c r="C2942" s="5" t="s">
        <v>4862</v>
      </c>
      <c r="D2942" s="2" t="s">
        <v>4863</v>
      </c>
    </row>
    <row r="2943" spans="1:4" ht="12.95" customHeight="1" x14ac:dyDescent="0.25">
      <c r="A2943" s="2" t="s">
        <v>401</v>
      </c>
      <c r="B2943" s="2" t="s">
        <v>1007</v>
      </c>
      <c r="C2943" s="5" t="s">
        <v>4864</v>
      </c>
      <c r="D2943" s="2" t="s">
        <v>4865</v>
      </c>
    </row>
    <row r="2944" spans="1:4" ht="12.95" customHeight="1" x14ac:dyDescent="0.25">
      <c r="A2944" s="2" t="s">
        <v>401</v>
      </c>
      <c r="B2944" s="2" t="s">
        <v>1007</v>
      </c>
      <c r="C2944" s="5" t="s">
        <v>4866</v>
      </c>
      <c r="D2944" s="2" t="s">
        <v>3280</v>
      </c>
    </row>
    <row r="2945" spans="1:4" ht="12.95" customHeight="1" x14ac:dyDescent="0.25">
      <c r="A2945" s="2" t="s">
        <v>401</v>
      </c>
      <c r="B2945" s="2" t="s">
        <v>1007</v>
      </c>
      <c r="C2945" s="5" t="s">
        <v>4867</v>
      </c>
      <c r="D2945" s="2" t="s">
        <v>3282</v>
      </c>
    </row>
    <row r="2946" spans="1:4" ht="12.95" customHeight="1" x14ac:dyDescent="0.25">
      <c r="A2946" s="2" t="s">
        <v>401</v>
      </c>
      <c r="B2946" s="2" t="s">
        <v>1007</v>
      </c>
      <c r="C2946" s="5" t="s">
        <v>4868</v>
      </c>
      <c r="D2946" s="2" t="s">
        <v>4869</v>
      </c>
    </row>
    <row r="2947" spans="1:4" ht="12.95" customHeight="1" x14ac:dyDescent="0.25">
      <c r="A2947" s="2" t="s">
        <v>401</v>
      </c>
      <c r="B2947" s="2" t="s">
        <v>1007</v>
      </c>
      <c r="C2947" s="5" t="s">
        <v>4870</v>
      </c>
      <c r="D2947" s="2" t="s">
        <v>4871</v>
      </c>
    </row>
    <row r="2948" spans="1:4" ht="12.95" customHeight="1" x14ac:dyDescent="0.25">
      <c r="A2948" s="2" t="s">
        <v>401</v>
      </c>
      <c r="B2948" s="2" t="s">
        <v>1007</v>
      </c>
      <c r="C2948" s="5" t="s">
        <v>4872</v>
      </c>
      <c r="D2948" s="2" t="s">
        <v>4873</v>
      </c>
    </row>
    <row r="2949" spans="1:4" ht="12.95" customHeight="1" x14ac:dyDescent="0.25">
      <c r="A2949" s="2" t="s">
        <v>401</v>
      </c>
      <c r="B2949" s="2" t="s">
        <v>1007</v>
      </c>
      <c r="C2949" s="5" t="s">
        <v>4874</v>
      </c>
      <c r="D2949" s="2" t="s">
        <v>4875</v>
      </c>
    </row>
    <row r="2950" spans="1:4" ht="12.95" customHeight="1" x14ac:dyDescent="0.25">
      <c r="A2950" s="2" t="s">
        <v>401</v>
      </c>
      <c r="B2950" s="2" t="s">
        <v>1007</v>
      </c>
      <c r="C2950" s="5" t="s">
        <v>4876</v>
      </c>
      <c r="D2950" s="2" t="s">
        <v>4877</v>
      </c>
    </row>
    <row r="2951" spans="1:4" ht="12.95" customHeight="1" x14ac:dyDescent="0.25">
      <c r="A2951" s="2" t="s">
        <v>401</v>
      </c>
      <c r="B2951" s="2" t="s">
        <v>1007</v>
      </c>
      <c r="C2951" s="5" t="s">
        <v>4878</v>
      </c>
      <c r="D2951" s="2" t="s">
        <v>4879</v>
      </c>
    </row>
    <row r="2952" spans="1:4" ht="12.95" customHeight="1" x14ac:dyDescent="0.25">
      <c r="A2952" s="2" t="s">
        <v>401</v>
      </c>
      <c r="B2952" s="2" t="s">
        <v>1007</v>
      </c>
      <c r="C2952" s="5" t="s">
        <v>4880</v>
      </c>
      <c r="D2952" s="2" t="s">
        <v>3280</v>
      </c>
    </row>
    <row r="2953" spans="1:4" ht="12.95" customHeight="1" x14ac:dyDescent="0.25">
      <c r="A2953" s="2" t="s">
        <v>401</v>
      </c>
      <c r="B2953" s="2" t="s">
        <v>1007</v>
      </c>
      <c r="C2953" s="5" t="s">
        <v>4881</v>
      </c>
      <c r="D2953" s="2" t="s">
        <v>3282</v>
      </c>
    </row>
    <row r="2954" spans="1:4" ht="12.95" customHeight="1" x14ac:dyDescent="0.25">
      <c r="A2954" s="2" t="s">
        <v>401</v>
      </c>
      <c r="B2954" s="2" t="s">
        <v>1007</v>
      </c>
      <c r="C2954" s="5" t="s">
        <v>4882</v>
      </c>
      <c r="D2954" s="2" t="s">
        <v>4883</v>
      </c>
    </row>
    <row r="2955" spans="1:4" ht="12.95" customHeight="1" x14ac:dyDescent="0.25">
      <c r="A2955" s="2" t="s">
        <v>401</v>
      </c>
      <c r="B2955" s="2" t="s">
        <v>1007</v>
      </c>
      <c r="C2955" s="5" t="s">
        <v>4884</v>
      </c>
      <c r="D2955" s="2" t="s">
        <v>4885</v>
      </c>
    </row>
    <row r="2956" spans="1:4" ht="12.95" customHeight="1" x14ac:dyDescent="0.25">
      <c r="A2956" s="2" t="s">
        <v>401</v>
      </c>
      <c r="B2956" s="2" t="s">
        <v>1007</v>
      </c>
      <c r="C2956" s="5" t="s">
        <v>4886</v>
      </c>
      <c r="D2956" s="2" t="s">
        <v>4887</v>
      </c>
    </row>
    <row r="2957" spans="1:4" ht="12.95" customHeight="1" x14ac:dyDescent="0.25">
      <c r="A2957" s="2" t="s">
        <v>401</v>
      </c>
      <c r="B2957" s="2" t="s">
        <v>1007</v>
      </c>
      <c r="C2957" s="5" t="s">
        <v>4888</v>
      </c>
      <c r="D2957" s="2" t="s">
        <v>4889</v>
      </c>
    </row>
    <row r="2958" spans="1:4" ht="12.95" customHeight="1" x14ac:dyDescent="0.25">
      <c r="A2958" s="2" t="s">
        <v>401</v>
      </c>
      <c r="B2958" s="2" t="s">
        <v>1007</v>
      </c>
      <c r="C2958" s="5" t="s">
        <v>4890</v>
      </c>
      <c r="D2958" s="2" t="s">
        <v>4891</v>
      </c>
    </row>
    <row r="2959" spans="1:4" ht="12.95" customHeight="1" x14ac:dyDescent="0.25">
      <c r="A2959" s="2" t="s">
        <v>401</v>
      </c>
      <c r="B2959" s="2" t="s">
        <v>1007</v>
      </c>
      <c r="C2959" s="5" t="s">
        <v>4892</v>
      </c>
      <c r="D2959" s="2" t="s">
        <v>4893</v>
      </c>
    </row>
    <row r="2960" spans="1:4" ht="12.95" customHeight="1" x14ac:dyDescent="0.25">
      <c r="A2960" s="2" t="s">
        <v>401</v>
      </c>
      <c r="B2960" s="2" t="s">
        <v>1007</v>
      </c>
      <c r="C2960" s="5" t="s">
        <v>4894</v>
      </c>
      <c r="D2960" s="2" t="s">
        <v>4895</v>
      </c>
    </row>
    <row r="2961" spans="1:4" ht="12.95" customHeight="1" x14ac:dyDescent="0.25">
      <c r="A2961" s="2" t="s">
        <v>401</v>
      </c>
      <c r="B2961" s="2" t="s">
        <v>1007</v>
      </c>
      <c r="C2961" s="5" t="s">
        <v>4896</v>
      </c>
      <c r="D2961" s="2" t="s">
        <v>4897</v>
      </c>
    </row>
    <row r="2962" spans="1:4" ht="12.95" customHeight="1" x14ac:dyDescent="0.25">
      <c r="A2962" s="2" t="s">
        <v>401</v>
      </c>
      <c r="B2962" s="2" t="s">
        <v>1007</v>
      </c>
      <c r="C2962" s="5" t="s">
        <v>4898</v>
      </c>
      <c r="D2962" s="2" t="s">
        <v>4899</v>
      </c>
    </row>
    <row r="2963" spans="1:4" ht="12.95" customHeight="1" x14ac:dyDescent="0.25">
      <c r="A2963" s="2" t="s">
        <v>401</v>
      </c>
      <c r="B2963" s="2" t="s">
        <v>1007</v>
      </c>
      <c r="C2963" s="5" t="s">
        <v>4900</v>
      </c>
      <c r="D2963" s="2" t="s">
        <v>4901</v>
      </c>
    </row>
    <row r="2964" spans="1:4" ht="12.95" customHeight="1" x14ac:dyDescent="0.25">
      <c r="A2964" s="2" t="s">
        <v>401</v>
      </c>
      <c r="B2964" s="2" t="s">
        <v>1007</v>
      </c>
      <c r="C2964" s="5" t="s">
        <v>4902</v>
      </c>
      <c r="D2964" s="2" t="s">
        <v>4903</v>
      </c>
    </row>
    <row r="2965" spans="1:4" ht="12.95" customHeight="1" x14ac:dyDescent="0.25">
      <c r="A2965" s="2" t="s">
        <v>401</v>
      </c>
      <c r="B2965" s="2" t="s">
        <v>1007</v>
      </c>
      <c r="C2965" s="5" t="s">
        <v>4904</v>
      </c>
      <c r="D2965" s="2" t="s">
        <v>4905</v>
      </c>
    </row>
    <row r="2966" spans="1:4" ht="12.95" customHeight="1" x14ac:dyDescent="0.25">
      <c r="A2966" s="2" t="s">
        <v>401</v>
      </c>
      <c r="B2966" s="2" t="s">
        <v>1007</v>
      </c>
      <c r="C2966" s="5" t="s">
        <v>4906</v>
      </c>
      <c r="D2966" s="2" t="s">
        <v>4907</v>
      </c>
    </row>
    <row r="2967" spans="1:4" ht="12.95" customHeight="1" x14ac:dyDescent="0.25">
      <c r="A2967" s="2" t="s">
        <v>401</v>
      </c>
      <c r="B2967" s="2" t="s">
        <v>1007</v>
      </c>
      <c r="C2967" s="5" t="s">
        <v>4908</v>
      </c>
      <c r="D2967" s="2" t="s">
        <v>4909</v>
      </c>
    </row>
    <row r="2968" spans="1:4" ht="12.95" customHeight="1" x14ac:dyDescent="0.25">
      <c r="A2968" s="2" t="s">
        <v>401</v>
      </c>
      <c r="B2968" s="2" t="s">
        <v>1007</v>
      </c>
      <c r="C2968" s="5" t="s">
        <v>4910</v>
      </c>
      <c r="D2968" s="2" t="s">
        <v>4911</v>
      </c>
    </row>
    <row r="2969" spans="1:4" ht="12.95" customHeight="1" x14ac:dyDescent="0.25">
      <c r="A2969" s="2" t="s">
        <v>401</v>
      </c>
      <c r="B2969" s="2" t="s">
        <v>1007</v>
      </c>
      <c r="C2969" s="5" t="s">
        <v>4912</v>
      </c>
      <c r="D2969" s="2" t="s">
        <v>4913</v>
      </c>
    </row>
    <row r="2970" spans="1:4" ht="12.95" customHeight="1" x14ac:dyDescent="0.25">
      <c r="A2970" s="2" t="s">
        <v>401</v>
      </c>
      <c r="B2970" s="2" t="s">
        <v>1007</v>
      </c>
      <c r="C2970" s="5" t="s">
        <v>4914</v>
      </c>
      <c r="D2970" s="2" t="s">
        <v>4915</v>
      </c>
    </row>
    <row r="2971" spans="1:4" ht="12.95" customHeight="1" x14ac:dyDescent="0.25">
      <c r="A2971" s="2" t="s">
        <v>401</v>
      </c>
      <c r="B2971" s="2" t="s">
        <v>1007</v>
      </c>
      <c r="C2971" s="5" t="s">
        <v>4916</v>
      </c>
      <c r="D2971" s="2" t="s">
        <v>3280</v>
      </c>
    </row>
    <row r="2972" spans="1:4" ht="12.95" customHeight="1" x14ac:dyDescent="0.25">
      <c r="A2972" s="2" t="s">
        <v>401</v>
      </c>
      <c r="B2972" s="2" t="s">
        <v>1007</v>
      </c>
      <c r="C2972" s="5" t="s">
        <v>4917</v>
      </c>
      <c r="D2972" s="2" t="s">
        <v>3394</v>
      </c>
    </row>
    <row r="2973" spans="1:4" ht="12.95" customHeight="1" x14ac:dyDescent="0.25">
      <c r="A2973" s="2" t="s">
        <v>401</v>
      </c>
      <c r="B2973" s="2" t="s">
        <v>1007</v>
      </c>
      <c r="C2973" s="5" t="s">
        <v>4918</v>
      </c>
      <c r="D2973" s="2" t="s">
        <v>4919</v>
      </c>
    </row>
    <row r="2974" spans="1:4" ht="12.95" customHeight="1" x14ac:dyDescent="0.25">
      <c r="A2974" s="2" t="s">
        <v>401</v>
      </c>
      <c r="B2974" s="2" t="s">
        <v>1007</v>
      </c>
      <c r="C2974" s="5" t="s">
        <v>4920</v>
      </c>
      <c r="D2974" s="2" t="s">
        <v>4921</v>
      </c>
    </row>
    <row r="2975" spans="1:4" ht="12.95" customHeight="1" x14ac:dyDescent="0.25">
      <c r="A2975" s="2" t="s">
        <v>401</v>
      </c>
      <c r="B2975" s="2" t="s">
        <v>1007</v>
      </c>
      <c r="C2975" s="5" t="s">
        <v>4922</v>
      </c>
      <c r="D2975" s="2" t="s">
        <v>4205</v>
      </c>
    </row>
    <row r="2976" spans="1:4" ht="12.95" customHeight="1" x14ac:dyDescent="0.25">
      <c r="A2976" s="2" t="s">
        <v>401</v>
      </c>
      <c r="B2976" s="2" t="s">
        <v>1007</v>
      </c>
      <c r="C2976" s="5" t="s">
        <v>4923</v>
      </c>
      <c r="D2976" s="2" t="s">
        <v>4924</v>
      </c>
    </row>
    <row r="2977" spans="1:4" ht="12.95" customHeight="1" x14ac:dyDescent="0.25">
      <c r="A2977" s="2" t="s">
        <v>401</v>
      </c>
      <c r="B2977" s="2" t="s">
        <v>1007</v>
      </c>
      <c r="C2977" s="5" t="s">
        <v>4925</v>
      </c>
      <c r="D2977" s="2" t="s">
        <v>4926</v>
      </c>
    </row>
    <row r="2978" spans="1:4" ht="12.95" customHeight="1" x14ac:dyDescent="0.25">
      <c r="A2978" s="2" t="s">
        <v>401</v>
      </c>
      <c r="B2978" s="2" t="s">
        <v>1007</v>
      </c>
      <c r="C2978" s="5" t="s">
        <v>4927</v>
      </c>
      <c r="D2978" s="2" t="s">
        <v>4928</v>
      </c>
    </row>
    <row r="2979" spans="1:4" ht="12.95" customHeight="1" x14ac:dyDescent="0.25">
      <c r="A2979" s="2" t="s">
        <v>401</v>
      </c>
      <c r="B2979" s="2" t="s">
        <v>1007</v>
      </c>
      <c r="C2979" s="5" t="s">
        <v>4929</v>
      </c>
      <c r="D2979" s="2" t="s">
        <v>1021</v>
      </c>
    </row>
    <row r="2980" spans="1:4" ht="12.95" customHeight="1" x14ac:dyDescent="0.25">
      <c r="A2980" s="2" t="s">
        <v>401</v>
      </c>
      <c r="B2980" s="2" t="s">
        <v>1007</v>
      </c>
      <c r="C2980" s="5" t="s">
        <v>4930</v>
      </c>
      <c r="D2980" s="2" t="s">
        <v>1027</v>
      </c>
    </row>
    <row r="2981" spans="1:4" ht="12.95" customHeight="1" x14ac:dyDescent="0.25">
      <c r="A2981" s="2" t="s">
        <v>401</v>
      </c>
      <c r="B2981" s="2" t="s">
        <v>1007</v>
      </c>
      <c r="C2981" s="5" t="s">
        <v>4931</v>
      </c>
      <c r="D2981" s="2" t="s">
        <v>1029</v>
      </c>
    </row>
    <row r="2982" spans="1:4" ht="12.95" customHeight="1" x14ac:dyDescent="0.25">
      <c r="A2982" s="2" t="s">
        <v>401</v>
      </c>
      <c r="B2982" s="2" t="s">
        <v>1007</v>
      </c>
      <c r="C2982" s="5" t="s">
        <v>4932</v>
      </c>
      <c r="D2982" s="2" t="s">
        <v>1031</v>
      </c>
    </row>
    <row r="2983" spans="1:4" ht="12.95" customHeight="1" x14ac:dyDescent="0.25">
      <c r="A2983" s="2" t="s">
        <v>401</v>
      </c>
      <c r="B2983" s="2" t="s">
        <v>1007</v>
      </c>
      <c r="C2983" s="5" t="s">
        <v>4933</v>
      </c>
      <c r="D2983" s="2" t="s">
        <v>4934</v>
      </c>
    </row>
    <row r="2984" spans="1:4" ht="12.95" customHeight="1" x14ac:dyDescent="0.25">
      <c r="A2984" s="2" t="s">
        <v>401</v>
      </c>
      <c r="B2984" s="2" t="s">
        <v>1007</v>
      </c>
      <c r="C2984" s="5" t="s">
        <v>4935</v>
      </c>
      <c r="D2984" s="2" t="s">
        <v>4936</v>
      </c>
    </row>
    <row r="2985" spans="1:4" ht="12.95" customHeight="1" x14ac:dyDescent="0.25">
      <c r="A2985" s="2" t="s">
        <v>401</v>
      </c>
      <c r="B2985" s="2" t="s">
        <v>1007</v>
      </c>
      <c r="C2985" s="5" t="s">
        <v>4937</v>
      </c>
      <c r="D2985" s="2" t="s">
        <v>4938</v>
      </c>
    </row>
    <row r="2986" spans="1:4" ht="12.95" customHeight="1" x14ac:dyDescent="0.25">
      <c r="A2986" s="2" t="s">
        <v>401</v>
      </c>
      <c r="B2986" s="2" t="s">
        <v>1007</v>
      </c>
      <c r="C2986" s="5" t="s">
        <v>4939</v>
      </c>
      <c r="D2986" s="2" t="s">
        <v>4940</v>
      </c>
    </row>
    <row r="2987" spans="1:4" ht="12.95" customHeight="1" x14ac:dyDescent="0.25">
      <c r="A2987" s="2" t="s">
        <v>401</v>
      </c>
      <c r="B2987" s="2" t="s">
        <v>1007</v>
      </c>
      <c r="C2987" s="5" t="s">
        <v>4941</v>
      </c>
      <c r="D2987" s="2" t="s">
        <v>3603</v>
      </c>
    </row>
    <row r="2988" spans="1:4" ht="12.95" customHeight="1" x14ac:dyDescent="0.25">
      <c r="A2988" s="2" t="s">
        <v>401</v>
      </c>
      <c r="B2988" s="2" t="s">
        <v>1007</v>
      </c>
      <c r="C2988" s="5" t="s">
        <v>4942</v>
      </c>
      <c r="D2988" s="2" t="s">
        <v>3599</v>
      </c>
    </row>
    <row r="2989" spans="1:4" ht="12.95" customHeight="1" x14ac:dyDescent="0.25">
      <c r="A2989" s="2" t="s">
        <v>401</v>
      </c>
      <c r="B2989" s="2" t="s">
        <v>1007</v>
      </c>
      <c r="C2989" s="5" t="s">
        <v>4943</v>
      </c>
      <c r="D2989" s="2" t="s">
        <v>3280</v>
      </c>
    </row>
    <row r="2990" spans="1:4" ht="12.95" customHeight="1" x14ac:dyDescent="0.25">
      <c r="A2990" s="2" t="s">
        <v>401</v>
      </c>
      <c r="B2990" s="2" t="s">
        <v>1007</v>
      </c>
      <c r="C2990" s="5" t="s">
        <v>4944</v>
      </c>
      <c r="D2990" s="2" t="s">
        <v>3394</v>
      </c>
    </row>
    <row r="2991" spans="1:4" ht="12.95" customHeight="1" x14ac:dyDescent="0.25">
      <c r="A2991" s="2" t="s">
        <v>401</v>
      </c>
      <c r="B2991" s="2" t="s">
        <v>1007</v>
      </c>
      <c r="C2991" s="5" t="s">
        <v>4945</v>
      </c>
      <c r="D2991" s="2" t="s">
        <v>4946</v>
      </c>
    </row>
    <row r="2992" spans="1:4" ht="12.95" customHeight="1" x14ac:dyDescent="0.25">
      <c r="A2992" s="2" t="s">
        <v>401</v>
      </c>
      <c r="B2992" s="2" t="s">
        <v>1007</v>
      </c>
      <c r="C2992" s="5" t="s">
        <v>4947</v>
      </c>
      <c r="D2992" s="2" t="s">
        <v>4948</v>
      </c>
    </row>
    <row r="2993" spans="1:4" ht="12.95" customHeight="1" x14ac:dyDescent="0.25">
      <c r="A2993" s="2" t="s">
        <v>401</v>
      </c>
      <c r="B2993" s="2" t="s">
        <v>1007</v>
      </c>
      <c r="C2993" s="5" t="s">
        <v>4949</v>
      </c>
      <c r="D2993" s="2" t="s">
        <v>4950</v>
      </c>
    </row>
    <row r="2994" spans="1:4" ht="12.95" customHeight="1" x14ac:dyDescent="0.25">
      <c r="A2994" s="2" t="s">
        <v>401</v>
      </c>
      <c r="B2994" s="2" t="s">
        <v>1007</v>
      </c>
      <c r="C2994" s="5" t="s">
        <v>4951</v>
      </c>
      <c r="D2994" s="2" t="s">
        <v>4952</v>
      </c>
    </row>
    <row r="2995" spans="1:4" ht="12.95" customHeight="1" x14ac:dyDescent="0.25">
      <c r="A2995" s="2" t="s">
        <v>401</v>
      </c>
      <c r="B2995" s="2" t="s">
        <v>1007</v>
      </c>
      <c r="C2995" s="5" t="s">
        <v>4953</v>
      </c>
      <c r="D2995" s="2" t="s">
        <v>4954</v>
      </c>
    </row>
    <row r="2996" spans="1:4" ht="12.95" customHeight="1" x14ac:dyDescent="0.25">
      <c r="A2996" s="2" t="s">
        <v>401</v>
      </c>
      <c r="B2996" s="2" t="s">
        <v>1007</v>
      </c>
      <c r="C2996" s="5" t="s">
        <v>4955</v>
      </c>
      <c r="D2996" s="2" t="s">
        <v>4956</v>
      </c>
    </row>
    <row r="2997" spans="1:4" ht="12.95" customHeight="1" x14ac:dyDescent="0.25">
      <c r="A2997" s="2" t="s">
        <v>401</v>
      </c>
      <c r="B2997" s="2" t="s">
        <v>1007</v>
      </c>
      <c r="C2997" s="5" t="s">
        <v>4957</v>
      </c>
      <c r="D2997" s="2" t="s">
        <v>4958</v>
      </c>
    </row>
    <row r="2998" spans="1:4" ht="12.95" customHeight="1" x14ac:dyDescent="0.25">
      <c r="A2998" s="2" t="s">
        <v>401</v>
      </c>
      <c r="B2998" s="2" t="s">
        <v>1007</v>
      </c>
      <c r="C2998" s="5" t="s">
        <v>4959</v>
      </c>
      <c r="D2998" s="2" t="s">
        <v>4960</v>
      </c>
    </row>
    <row r="2999" spans="1:4" ht="12.95" customHeight="1" x14ac:dyDescent="0.25">
      <c r="A2999" s="2" t="s">
        <v>401</v>
      </c>
      <c r="B2999" s="2" t="s">
        <v>1007</v>
      </c>
      <c r="C2999" s="5" t="s">
        <v>4961</v>
      </c>
      <c r="D2999" s="2" t="s">
        <v>3280</v>
      </c>
    </row>
    <row r="3000" spans="1:4" ht="12.95" customHeight="1" x14ac:dyDescent="0.25">
      <c r="A3000" s="2" t="s">
        <v>401</v>
      </c>
      <c r="B3000" s="2" t="s">
        <v>1007</v>
      </c>
      <c r="C3000" s="5" t="s">
        <v>4962</v>
      </c>
      <c r="D3000" s="2" t="s">
        <v>3394</v>
      </c>
    </row>
    <row r="3001" spans="1:4" ht="12.95" customHeight="1" x14ac:dyDescent="0.25">
      <c r="A3001" s="2" t="s">
        <v>401</v>
      </c>
      <c r="B3001" s="2" t="s">
        <v>1007</v>
      </c>
      <c r="C3001" s="5" t="s">
        <v>4963</v>
      </c>
      <c r="D3001" s="2" t="s">
        <v>4964</v>
      </c>
    </row>
    <row r="3002" spans="1:4" ht="12.95" customHeight="1" x14ac:dyDescent="0.25">
      <c r="A3002" s="2" t="s">
        <v>401</v>
      </c>
      <c r="B3002" s="2" t="s">
        <v>1007</v>
      </c>
      <c r="C3002" s="5" t="s">
        <v>4965</v>
      </c>
      <c r="D3002" s="2" t="s">
        <v>4966</v>
      </c>
    </row>
    <row r="3003" spans="1:4" ht="12.95" customHeight="1" x14ac:dyDescent="0.25">
      <c r="A3003" s="2" t="s">
        <v>401</v>
      </c>
      <c r="B3003" s="2" t="s">
        <v>1007</v>
      </c>
      <c r="C3003" s="5" t="s">
        <v>4967</v>
      </c>
      <c r="D3003" s="2" t="s">
        <v>4968</v>
      </c>
    </row>
    <row r="3004" spans="1:4" ht="12.95" customHeight="1" x14ac:dyDescent="0.25">
      <c r="A3004" s="2" t="s">
        <v>401</v>
      </c>
      <c r="B3004" s="2" t="s">
        <v>1007</v>
      </c>
      <c r="C3004" s="5" t="s">
        <v>4969</v>
      </c>
      <c r="D3004" s="2" t="s">
        <v>4970</v>
      </c>
    </row>
    <row r="3005" spans="1:4" ht="12.95" customHeight="1" x14ac:dyDescent="0.25">
      <c r="A3005" s="2" t="s">
        <v>401</v>
      </c>
      <c r="B3005" s="2" t="s">
        <v>1007</v>
      </c>
      <c r="C3005" s="5" t="s">
        <v>4971</v>
      </c>
      <c r="D3005" s="2" t="s">
        <v>4972</v>
      </c>
    </row>
    <row r="3006" spans="1:4" ht="12.95" customHeight="1" x14ac:dyDescent="0.25">
      <c r="A3006" s="2" t="s">
        <v>401</v>
      </c>
      <c r="B3006" s="2" t="s">
        <v>1007</v>
      </c>
      <c r="C3006" s="5" t="s">
        <v>4973</v>
      </c>
      <c r="D3006" s="2" t="s">
        <v>4974</v>
      </c>
    </row>
    <row r="3007" spans="1:4" ht="12.95" customHeight="1" x14ac:dyDescent="0.25">
      <c r="A3007" s="2" t="s">
        <v>401</v>
      </c>
      <c r="B3007" s="2" t="s">
        <v>1007</v>
      </c>
      <c r="C3007" s="5" t="s">
        <v>4975</v>
      </c>
      <c r="D3007" s="2" t="s">
        <v>4976</v>
      </c>
    </row>
    <row r="3008" spans="1:4" ht="12.95" customHeight="1" x14ac:dyDescent="0.25">
      <c r="A3008" s="2" t="s">
        <v>401</v>
      </c>
      <c r="B3008" s="2" t="s">
        <v>1007</v>
      </c>
      <c r="C3008" s="5" t="s">
        <v>4977</v>
      </c>
      <c r="D3008" s="2" t="s">
        <v>4978</v>
      </c>
    </row>
    <row r="3009" spans="1:4" ht="12.95" customHeight="1" x14ac:dyDescent="0.25">
      <c r="A3009" s="2" t="s">
        <v>401</v>
      </c>
      <c r="B3009" s="2" t="s">
        <v>1007</v>
      </c>
      <c r="C3009" s="5" t="s">
        <v>4979</v>
      </c>
      <c r="D3009" s="2" t="s">
        <v>4980</v>
      </c>
    </row>
    <row r="3010" spans="1:4" ht="12.95" customHeight="1" x14ac:dyDescent="0.25">
      <c r="A3010" s="2" t="s">
        <v>401</v>
      </c>
      <c r="B3010" s="2" t="s">
        <v>1007</v>
      </c>
      <c r="C3010" s="5" t="s">
        <v>4981</v>
      </c>
      <c r="D3010" s="2" t="s">
        <v>4982</v>
      </c>
    </row>
    <row r="3011" spans="1:4" ht="12.95" customHeight="1" x14ac:dyDescent="0.25">
      <c r="A3011" s="2" t="s">
        <v>401</v>
      </c>
      <c r="B3011" s="2" t="s">
        <v>1007</v>
      </c>
      <c r="C3011" s="5" t="s">
        <v>4983</v>
      </c>
      <c r="D3011" s="2" t="s">
        <v>4984</v>
      </c>
    </row>
    <row r="3012" spans="1:4" ht="12.95" customHeight="1" x14ac:dyDescent="0.25">
      <c r="A3012" s="2" t="s">
        <v>401</v>
      </c>
      <c r="B3012" s="2" t="s">
        <v>1007</v>
      </c>
      <c r="C3012" s="5" t="s">
        <v>4985</v>
      </c>
      <c r="D3012" s="2" t="s">
        <v>4986</v>
      </c>
    </row>
    <row r="3013" spans="1:4" ht="12.95" customHeight="1" x14ac:dyDescent="0.25">
      <c r="A3013" s="2" t="s">
        <v>401</v>
      </c>
      <c r="B3013" s="2" t="s">
        <v>1007</v>
      </c>
      <c r="C3013" s="5" t="s">
        <v>4987</v>
      </c>
      <c r="D3013" s="2" t="s">
        <v>4988</v>
      </c>
    </row>
    <row r="3014" spans="1:4" ht="12.95" customHeight="1" x14ac:dyDescent="0.25">
      <c r="A3014" s="2" t="s">
        <v>401</v>
      </c>
      <c r="B3014" s="2" t="s">
        <v>1007</v>
      </c>
      <c r="C3014" s="5" t="s">
        <v>4989</v>
      </c>
      <c r="D3014" s="2" t="s">
        <v>4990</v>
      </c>
    </row>
    <row r="3015" spans="1:4" ht="12.95" customHeight="1" x14ac:dyDescent="0.25">
      <c r="A3015" s="2" t="s">
        <v>401</v>
      </c>
      <c r="B3015" s="2" t="s">
        <v>1007</v>
      </c>
      <c r="C3015" s="5" t="s">
        <v>4991</v>
      </c>
      <c r="D3015" s="2" t="s">
        <v>4992</v>
      </c>
    </row>
    <row r="3016" spans="1:4" ht="12.95" customHeight="1" x14ac:dyDescent="0.25">
      <c r="A3016" s="2" t="s">
        <v>401</v>
      </c>
      <c r="B3016" s="2" t="s">
        <v>1007</v>
      </c>
      <c r="C3016" s="5" t="s">
        <v>4993</v>
      </c>
      <c r="D3016" s="2" t="s">
        <v>4994</v>
      </c>
    </row>
    <row r="3017" spans="1:4" ht="12.95" customHeight="1" x14ac:dyDescent="0.25">
      <c r="A3017" s="2" t="s">
        <v>401</v>
      </c>
      <c r="B3017" s="2" t="s">
        <v>1007</v>
      </c>
      <c r="C3017" s="5" t="s">
        <v>4995</v>
      </c>
      <c r="D3017" s="2" t="s">
        <v>3392</v>
      </c>
    </row>
    <row r="3018" spans="1:4" ht="12.95" customHeight="1" x14ac:dyDescent="0.25">
      <c r="A3018" s="2" t="s">
        <v>401</v>
      </c>
      <c r="B3018" s="2" t="s">
        <v>1007</v>
      </c>
      <c r="C3018" s="5" t="s">
        <v>4996</v>
      </c>
      <c r="D3018" s="2" t="s">
        <v>3394</v>
      </c>
    </row>
    <row r="3019" spans="1:4" ht="12.95" customHeight="1" x14ac:dyDescent="0.25">
      <c r="A3019" s="2" t="s">
        <v>401</v>
      </c>
      <c r="B3019" s="2" t="s">
        <v>1007</v>
      </c>
      <c r="C3019" s="5" t="s">
        <v>4997</v>
      </c>
      <c r="D3019" s="2" t="s">
        <v>4998</v>
      </c>
    </row>
    <row r="3020" spans="1:4" ht="12.95" customHeight="1" x14ac:dyDescent="0.25">
      <c r="A3020" s="2" t="s">
        <v>401</v>
      </c>
      <c r="B3020" s="2" t="s">
        <v>1007</v>
      </c>
      <c r="C3020" s="5" t="s">
        <v>4999</v>
      </c>
      <c r="D3020" s="2" t="s">
        <v>5000</v>
      </c>
    </row>
    <row r="3021" spans="1:4" ht="12.95" customHeight="1" x14ac:dyDescent="0.25">
      <c r="A3021" s="2" t="s">
        <v>401</v>
      </c>
      <c r="B3021" s="2" t="s">
        <v>1007</v>
      </c>
      <c r="C3021" s="5" t="s">
        <v>5001</v>
      </c>
      <c r="D3021" s="2" t="s">
        <v>5002</v>
      </c>
    </row>
    <row r="3022" spans="1:4" ht="12.95" customHeight="1" x14ac:dyDescent="0.25">
      <c r="A3022" s="2" t="s">
        <v>401</v>
      </c>
      <c r="B3022" s="2" t="s">
        <v>1007</v>
      </c>
      <c r="C3022" s="5" t="s">
        <v>5003</v>
      </c>
      <c r="D3022" s="2" t="s">
        <v>3314</v>
      </c>
    </row>
    <row r="3023" spans="1:4" ht="12.95" customHeight="1" x14ac:dyDescent="0.25">
      <c r="A3023" s="2" t="s">
        <v>401</v>
      </c>
      <c r="B3023" s="2" t="s">
        <v>1007</v>
      </c>
      <c r="C3023" s="5" t="s">
        <v>5004</v>
      </c>
      <c r="D3023" s="2" t="s">
        <v>5005</v>
      </c>
    </row>
    <row r="3024" spans="1:4" ht="12.95" customHeight="1" x14ac:dyDescent="0.25">
      <c r="A3024" s="2" t="s">
        <v>401</v>
      </c>
      <c r="B3024" s="2" t="s">
        <v>1007</v>
      </c>
      <c r="C3024" s="5" t="s">
        <v>5006</v>
      </c>
      <c r="D3024" s="2" t="s">
        <v>5007</v>
      </c>
    </row>
    <row r="3025" spans="1:4" ht="12.95" customHeight="1" x14ac:dyDescent="0.25">
      <c r="A3025" s="2" t="s">
        <v>401</v>
      </c>
      <c r="B3025" s="2" t="s">
        <v>1007</v>
      </c>
      <c r="C3025" s="5" t="s">
        <v>5008</v>
      </c>
      <c r="D3025" s="2" t="s">
        <v>5009</v>
      </c>
    </row>
    <row r="3026" spans="1:4" ht="12.95" customHeight="1" x14ac:dyDescent="0.25">
      <c r="A3026" s="2" t="s">
        <v>401</v>
      </c>
      <c r="B3026" s="2" t="s">
        <v>1007</v>
      </c>
      <c r="C3026" s="5" t="s">
        <v>5010</v>
      </c>
      <c r="D3026" s="2" t="s">
        <v>5011</v>
      </c>
    </row>
    <row r="3027" spans="1:4" ht="12.95" customHeight="1" x14ac:dyDescent="0.25">
      <c r="A3027" s="2" t="s">
        <v>401</v>
      </c>
      <c r="B3027" s="2" t="s">
        <v>1007</v>
      </c>
      <c r="C3027" s="5" t="s">
        <v>5012</v>
      </c>
      <c r="D3027" s="2" t="s">
        <v>5013</v>
      </c>
    </row>
    <row r="3028" spans="1:4" ht="12.95" customHeight="1" x14ac:dyDescent="0.25">
      <c r="A3028" s="2" t="s">
        <v>401</v>
      </c>
      <c r="B3028" s="2" t="s">
        <v>1007</v>
      </c>
      <c r="C3028" s="5" t="s">
        <v>5014</v>
      </c>
      <c r="D3028" s="2" t="s">
        <v>5015</v>
      </c>
    </row>
    <row r="3029" spans="1:4" ht="12.95" customHeight="1" x14ac:dyDescent="0.25">
      <c r="A3029" s="2" t="s">
        <v>401</v>
      </c>
      <c r="B3029" s="2" t="s">
        <v>1007</v>
      </c>
      <c r="C3029" s="5" t="s">
        <v>5016</v>
      </c>
      <c r="D3029" s="2" t="s">
        <v>5017</v>
      </c>
    </row>
    <row r="3030" spans="1:4" ht="12.95" customHeight="1" x14ac:dyDescent="0.25">
      <c r="A3030" s="2" t="s">
        <v>401</v>
      </c>
      <c r="B3030" s="2" t="s">
        <v>1007</v>
      </c>
      <c r="C3030" s="5" t="s">
        <v>5018</v>
      </c>
      <c r="D3030" s="2" t="s">
        <v>5019</v>
      </c>
    </row>
    <row r="3031" spans="1:4" ht="12.95" customHeight="1" x14ac:dyDescent="0.25">
      <c r="A3031" s="2" t="s">
        <v>401</v>
      </c>
      <c r="B3031" s="2" t="s">
        <v>1007</v>
      </c>
      <c r="C3031" s="5" t="s">
        <v>5020</v>
      </c>
      <c r="D3031" s="2" t="s">
        <v>5021</v>
      </c>
    </row>
    <row r="3032" spans="1:4" ht="12.95" customHeight="1" x14ac:dyDescent="0.25">
      <c r="A3032" s="2" t="s">
        <v>401</v>
      </c>
      <c r="B3032" s="2" t="s">
        <v>1007</v>
      </c>
      <c r="C3032" s="5" t="s">
        <v>5022</v>
      </c>
      <c r="D3032" s="2" t="s">
        <v>5023</v>
      </c>
    </row>
    <row r="3033" spans="1:4" ht="12.95" customHeight="1" x14ac:dyDescent="0.25">
      <c r="A3033" s="2" t="s">
        <v>401</v>
      </c>
      <c r="B3033" s="2" t="s">
        <v>1007</v>
      </c>
      <c r="C3033" s="5" t="s">
        <v>5024</v>
      </c>
      <c r="D3033" s="2" t="s">
        <v>5025</v>
      </c>
    </row>
    <row r="3034" spans="1:4" ht="12.95" customHeight="1" x14ac:dyDescent="0.25">
      <c r="A3034" s="2" t="s">
        <v>401</v>
      </c>
      <c r="B3034" s="2" t="s">
        <v>1007</v>
      </c>
      <c r="C3034" s="5" t="s">
        <v>5026</v>
      </c>
      <c r="D3034" s="2" t="s">
        <v>5027</v>
      </c>
    </row>
    <row r="3035" spans="1:4" ht="12.95" customHeight="1" x14ac:dyDescent="0.25">
      <c r="A3035" s="2" t="s">
        <v>401</v>
      </c>
      <c r="B3035" s="2" t="s">
        <v>1007</v>
      </c>
      <c r="C3035" s="5" t="s">
        <v>5028</v>
      </c>
      <c r="D3035" s="2" t="s">
        <v>5029</v>
      </c>
    </row>
    <row r="3036" spans="1:4" ht="12.95" customHeight="1" x14ac:dyDescent="0.25">
      <c r="A3036" s="2" t="s">
        <v>401</v>
      </c>
      <c r="B3036" s="2" t="s">
        <v>1007</v>
      </c>
      <c r="C3036" s="5" t="s">
        <v>5030</v>
      </c>
      <c r="D3036" s="2" t="s">
        <v>5031</v>
      </c>
    </row>
    <row r="3037" spans="1:4" ht="12.95" customHeight="1" x14ac:dyDescent="0.25">
      <c r="A3037" s="2" t="s">
        <v>401</v>
      </c>
      <c r="B3037" s="2" t="s">
        <v>1007</v>
      </c>
      <c r="C3037" s="5" t="s">
        <v>5032</v>
      </c>
      <c r="D3037" s="2" t="s">
        <v>5033</v>
      </c>
    </row>
    <row r="3038" spans="1:4" ht="12.95" customHeight="1" x14ac:dyDescent="0.25">
      <c r="A3038" s="2" t="s">
        <v>401</v>
      </c>
      <c r="B3038" s="2" t="s">
        <v>1007</v>
      </c>
      <c r="C3038" s="5" t="s">
        <v>5034</v>
      </c>
      <c r="D3038" s="2" t="s">
        <v>5035</v>
      </c>
    </row>
    <row r="3039" spans="1:4" ht="12.95" customHeight="1" x14ac:dyDescent="0.25">
      <c r="A3039" s="2" t="s">
        <v>401</v>
      </c>
      <c r="B3039" s="2" t="s">
        <v>1007</v>
      </c>
      <c r="C3039" s="5" t="s">
        <v>5036</v>
      </c>
      <c r="D3039" s="2" t="s">
        <v>5037</v>
      </c>
    </row>
    <row r="3040" spans="1:4" ht="12.95" customHeight="1" x14ac:dyDescent="0.25">
      <c r="A3040" s="2" t="s">
        <v>401</v>
      </c>
      <c r="B3040" s="2" t="s">
        <v>1007</v>
      </c>
      <c r="C3040" s="5" t="s">
        <v>5038</v>
      </c>
      <c r="D3040" s="2" t="s">
        <v>5039</v>
      </c>
    </row>
    <row r="3041" spans="1:4" ht="12.95" customHeight="1" x14ac:dyDescent="0.25">
      <c r="A3041" s="2" t="s">
        <v>401</v>
      </c>
      <c r="B3041" s="2" t="s">
        <v>1007</v>
      </c>
      <c r="C3041" s="5" t="s">
        <v>5040</v>
      </c>
      <c r="D3041" s="2" t="s">
        <v>5041</v>
      </c>
    </row>
    <row r="3042" spans="1:4" ht="12.95" customHeight="1" x14ac:dyDescent="0.25">
      <c r="A3042" s="2" t="s">
        <v>401</v>
      </c>
      <c r="B3042" s="2" t="s">
        <v>1007</v>
      </c>
      <c r="C3042" s="5" t="s">
        <v>5042</v>
      </c>
      <c r="D3042" s="2" t="s">
        <v>5043</v>
      </c>
    </row>
    <row r="3043" spans="1:4" ht="12.95" customHeight="1" x14ac:dyDescent="0.25">
      <c r="A3043" s="2" t="s">
        <v>401</v>
      </c>
      <c r="B3043" s="2" t="s">
        <v>1007</v>
      </c>
      <c r="C3043" s="5" t="s">
        <v>5044</v>
      </c>
      <c r="D3043" s="2" t="s">
        <v>5045</v>
      </c>
    </row>
    <row r="3044" spans="1:4" ht="12.95" customHeight="1" x14ac:dyDescent="0.25">
      <c r="A3044" s="2" t="s">
        <v>401</v>
      </c>
      <c r="B3044" s="2" t="s">
        <v>1007</v>
      </c>
      <c r="C3044" s="5" t="s">
        <v>5046</v>
      </c>
      <c r="D3044" s="2" t="s">
        <v>5047</v>
      </c>
    </row>
    <row r="3045" spans="1:4" ht="12.95" customHeight="1" x14ac:dyDescent="0.25">
      <c r="A3045" s="2" t="s">
        <v>401</v>
      </c>
      <c r="B3045" s="2" t="s">
        <v>1007</v>
      </c>
      <c r="C3045" s="5" t="s">
        <v>5048</v>
      </c>
      <c r="D3045" s="2" t="s">
        <v>5049</v>
      </c>
    </row>
    <row r="3046" spans="1:4" ht="12.95" customHeight="1" x14ac:dyDescent="0.25">
      <c r="A3046" s="2" t="s">
        <v>401</v>
      </c>
      <c r="B3046" s="2" t="s">
        <v>1007</v>
      </c>
      <c r="C3046" s="5" t="s">
        <v>5050</v>
      </c>
      <c r="D3046" s="2" t="s">
        <v>5051</v>
      </c>
    </row>
    <row r="3047" spans="1:4" ht="12.95" customHeight="1" x14ac:dyDescent="0.25">
      <c r="A3047" s="2" t="s">
        <v>401</v>
      </c>
      <c r="B3047" s="2" t="s">
        <v>1007</v>
      </c>
      <c r="C3047" s="5" t="s">
        <v>5052</v>
      </c>
      <c r="D3047" s="2" t="s">
        <v>5053</v>
      </c>
    </row>
    <row r="3048" spans="1:4" ht="12.95" customHeight="1" x14ac:dyDescent="0.25">
      <c r="A3048" s="2" t="s">
        <v>401</v>
      </c>
      <c r="B3048" s="2" t="s">
        <v>1007</v>
      </c>
      <c r="C3048" s="5" t="s">
        <v>5054</v>
      </c>
      <c r="D3048" s="2" t="s">
        <v>5055</v>
      </c>
    </row>
    <row r="3049" spans="1:4" ht="12.95" customHeight="1" x14ac:dyDescent="0.25">
      <c r="A3049" s="2" t="s">
        <v>401</v>
      </c>
      <c r="B3049" s="2" t="s">
        <v>1007</v>
      </c>
      <c r="C3049" s="5" t="s">
        <v>5056</v>
      </c>
      <c r="D3049" s="2" t="s">
        <v>3280</v>
      </c>
    </row>
    <row r="3050" spans="1:4" ht="12.95" customHeight="1" x14ac:dyDescent="0.25">
      <c r="A3050" s="2" t="s">
        <v>401</v>
      </c>
      <c r="B3050" s="2" t="s">
        <v>1007</v>
      </c>
      <c r="C3050" s="5" t="s">
        <v>5057</v>
      </c>
      <c r="D3050" s="2" t="s">
        <v>3394</v>
      </c>
    </row>
    <row r="3051" spans="1:4" ht="12.95" customHeight="1" x14ac:dyDescent="0.25">
      <c r="A3051" s="2" t="s">
        <v>401</v>
      </c>
      <c r="B3051" s="2" t="s">
        <v>1007</v>
      </c>
      <c r="C3051" s="5" t="s">
        <v>5058</v>
      </c>
      <c r="D3051" s="2" t="s">
        <v>5059</v>
      </c>
    </row>
    <row r="3052" spans="1:4" ht="12.95" customHeight="1" x14ac:dyDescent="0.25">
      <c r="A3052" s="2" t="s">
        <v>401</v>
      </c>
      <c r="B3052" s="2" t="s">
        <v>1007</v>
      </c>
      <c r="C3052" s="5" t="s">
        <v>5060</v>
      </c>
      <c r="D3052" s="2" t="s">
        <v>5061</v>
      </c>
    </row>
    <row r="3053" spans="1:4" ht="12.95" customHeight="1" x14ac:dyDescent="0.25">
      <c r="A3053" s="2" t="s">
        <v>401</v>
      </c>
      <c r="B3053" s="2" t="s">
        <v>1007</v>
      </c>
      <c r="C3053" s="5" t="s">
        <v>5062</v>
      </c>
      <c r="D3053" s="2" t="s">
        <v>5063</v>
      </c>
    </row>
    <row r="3054" spans="1:4" ht="12.95" customHeight="1" x14ac:dyDescent="0.25">
      <c r="A3054" s="2" t="s">
        <v>401</v>
      </c>
      <c r="B3054" s="2" t="s">
        <v>1007</v>
      </c>
      <c r="C3054" s="5" t="s">
        <v>5064</v>
      </c>
      <c r="D3054" s="2" t="s">
        <v>5065</v>
      </c>
    </row>
    <row r="3055" spans="1:4" ht="12.95" customHeight="1" x14ac:dyDescent="0.25">
      <c r="A3055" s="2" t="s">
        <v>401</v>
      </c>
      <c r="B3055" s="2" t="s">
        <v>1007</v>
      </c>
      <c r="C3055" s="5" t="s">
        <v>5066</v>
      </c>
      <c r="D3055" s="2" t="s">
        <v>5067</v>
      </c>
    </row>
    <row r="3056" spans="1:4" ht="12.95" customHeight="1" x14ac:dyDescent="0.25">
      <c r="A3056" s="2" t="s">
        <v>401</v>
      </c>
      <c r="B3056" s="2" t="s">
        <v>1007</v>
      </c>
      <c r="C3056" s="5" t="s">
        <v>5068</v>
      </c>
      <c r="D3056" s="2" t="s">
        <v>5069</v>
      </c>
    </row>
    <row r="3057" spans="1:4" ht="12.95" customHeight="1" x14ac:dyDescent="0.25">
      <c r="A3057" s="2" t="s">
        <v>401</v>
      </c>
      <c r="B3057" s="2" t="s">
        <v>1007</v>
      </c>
      <c r="C3057" s="5" t="s">
        <v>5070</v>
      </c>
      <c r="D3057" s="2" t="s">
        <v>5071</v>
      </c>
    </row>
    <row r="3058" spans="1:4" ht="12.95" customHeight="1" x14ac:dyDescent="0.25">
      <c r="A3058" s="2" t="s">
        <v>401</v>
      </c>
      <c r="B3058" s="2" t="s">
        <v>1007</v>
      </c>
      <c r="C3058" s="5" t="s">
        <v>5072</v>
      </c>
      <c r="D3058" s="2" t="s">
        <v>5073</v>
      </c>
    </row>
    <row r="3059" spans="1:4" ht="12.95" customHeight="1" x14ac:dyDescent="0.25">
      <c r="A3059" s="2" t="s">
        <v>401</v>
      </c>
      <c r="B3059" s="2" t="s">
        <v>1007</v>
      </c>
      <c r="C3059" s="5" t="s">
        <v>5074</v>
      </c>
      <c r="D3059" s="2" t="s">
        <v>5075</v>
      </c>
    </row>
    <row r="3060" spans="1:4" ht="12.95" customHeight="1" x14ac:dyDescent="0.25">
      <c r="A3060" s="2" t="s">
        <v>401</v>
      </c>
      <c r="B3060" s="2" t="s">
        <v>1007</v>
      </c>
      <c r="C3060" s="5" t="s">
        <v>5076</v>
      </c>
      <c r="D3060" s="2" t="s">
        <v>5077</v>
      </c>
    </row>
    <row r="3061" spans="1:4" ht="12.95" customHeight="1" x14ac:dyDescent="0.25">
      <c r="A3061" s="2" t="s">
        <v>401</v>
      </c>
      <c r="B3061" s="2" t="s">
        <v>1007</v>
      </c>
      <c r="C3061" s="5" t="s">
        <v>5078</v>
      </c>
      <c r="D3061" s="2" t="s">
        <v>5079</v>
      </c>
    </row>
    <row r="3062" spans="1:4" ht="12.95" customHeight="1" x14ac:dyDescent="0.25">
      <c r="A3062" s="2" t="s">
        <v>401</v>
      </c>
      <c r="B3062" s="2" t="s">
        <v>1007</v>
      </c>
      <c r="C3062" s="5" t="s">
        <v>5080</v>
      </c>
      <c r="D3062" s="2" t="s">
        <v>5081</v>
      </c>
    </row>
    <row r="3063" spans="1:4" ht="12.95" customHeight="1" x14ac:dyDescent="0.25">
      <c r="A3063" s="2" t="s">
        <v>401</v>
      </c>
      <c r="B3063" s="2" t="s">
        <v>1007</v>
      </c>
      <c r="C3063" s="5" t="s">
        <v>5082</v>
      </c>
      <c r="D3063" s="2" t="s">
        <v>3312</v>
      </c>
    </row>
    <row r="3064" spans="1:4" ht="12.95" customHeight="1" x14ac:dyDescent="0.25">
      <c r="A3064" s="2" t="s">
        <v>401</v>
      </c>
      <c r="B3064" s="2" t="s">
        <v>1007</v>
      </c>
      <c r="C3064" s="5" t="s">
        <v>5083</v>
      </c>
      <c r="D3064" s="2" t="s">
        <v>3314</v>
      </c>
    </row>
    <row r="3065" spans="1:4" ht="12.95" customHeight="1" x14ac:dyDescent="0.25">
      <c r="A3065" s="2" t="s">
        <v>401</v>
      </c>
      <c r="B3065" s="2" t="s">
        <v>1007</v>
      </c>
      <c r="C3065" s="5" t="s">
        <v>5084</v>
      </c>
      <c r="D3065" s="2" t="s">
        <v>5085</v>
      </c>
    </row>
    <row r="3066" spans="1:4" ht="12.95" customHeight="1" x14ac:dyDescent="0.25">
      <c r="A3066" s="2" t="s">
        <v>401</v>
      </c>
      <c r="B3066" s="2" t="s">
        <v>1007</v>
      </c>
      <c r="C3066" s="5" t="s">
        <v>5086</v>
      </c>
      <c r="D3066" s="2" t="s">
        <v>5087</v>
      </c>
    </row>
    <row r="3067" spans="1:4" ht="12.95" customHeight="1" x14ac:dyDescent="0.25">
      <c r="A3067" s="2" t="s">
        <v>401</v>
      </c>
      <c r="B3067" s="2" t="s">
        <v>1007</v>
      </c>
      <c r="C3067" s="5" t="s">
        <v>5088</v>
      </c>
      <c r="D3067" s="2" t="s">
        <v>5089</v>
      </c>
    </row>
    <row r="3068" spans="1:4" ht="12.95" customHeight="1" x14ac:dyDescent="0.25">
      <c r="A3068" s="2" t="s">
        <v>401</v>
      </c>
      <c r="B3068" s="2" t="s">
        <v>1007</v>
      </c>
      <c r="C3068" s="5" t="s">
        <v>5090</v>
      </c>
      <c r="D3068" s="2" t="s">
        <v>5091</v>
      </c>
    </row>
    <row r="3069" spans="1:4" ht="12.95" customHeight="1" x14ac:dyDescent="0.25">
      <c r="A3069" s="2" t="s">
        <v>401</v>
      </c>
      <c r="B3069" s="2" t="s">
        <v>1007</v>
      </c>
      <c r="C3069" s="5" t="s">
        <v>5092</v>
      </c>
      <c r="D3069" s="2" t="s">
        <v>5093</v>
      </c>
    </row>
    <row r="3070" spans="1:4" ht="12.95" customHeight="1" x14ac:dyDescent="0.25">
      <c r="A3070" s="2" t="s">
        <v>401</v>
      </c>
      <c r="B3070" s="2" t="s">
        <v>1007</v>
      </c>
      <c r="C3070" s="5" t="s">
        <v>5094</v>
      </c>
      <c r="D3070" s="2" t="s">
        <v>5095</v>
      </c>
    </row>
    <row r="3071" spans="1:4" ht="12.95" customHeight="1" x14ac:dyDescent="0.25">
      <c r="A3071" s="2" t="s">
        <v>401</v>
      </c>
      <c r="B3071" s="2" t="s">
        <v>1007</v>
      </c>
      <c r="C3071" s="5" t="s">
        <v>5096</v>
      </c>
      <c r="D3071" s="2" t="s">
        <v>5097</v>
      </c>
    </row>
    <row r="3072" spans="1:4" ht="12.95" customHeight="1" x14ac:dyDescent="0.25">
      <c r="A3072" s="2" t="s">
        <v>401</v>
      </c>
      <c r="B3072" s="2" t="s">
        <v>1007</v>
      </c>
      <c r="C3072" s="5" t="s">
        <v>5098</v>
      </c>
      <c r="D3072" s="2" t="s">
        <v>5099</v>
      </c>
    </row>
    <row r="3073" spans="1:4" ht="12.95" customHeight="1" x14ac:dyDescent="0.25">
      <c r="A3073" s="2" t="s">
        <v>401</v>
      </c>
      <c r="B3073" s="2" t="s">
        <v>1007</v>
      </c>
      <c r="C3073" s="5" t="s">
        <v>5100</v>
      </c>
      <c r="D3073" s="2" t="s">
        <v>3280</v>
      </c>
    </row>
    <row r="3074" spans="1:4" ht="12.95" customHeight="1" x14ac:dyDescent="0.25">
      <c r="A3074" s="2" t="s">
        <v>401</v>
      </c>
      <c r="B3074" s="2" t="s">
        <v>1007</v>
      </c>
      <c r="C3074" s="5" t="s">
        <v>5101</v>
      </c>
      <c r="D3074" s="2" t="s">
        <v>3282</v>
      </c>
    </row>
    <row r="3075" spans="1:4" ht="12.95" customHeight="1" x14ac:dyDescent="0.25">
      <c r="A3075" s="2" t="s">
        <v>401</v>
      </c>
      <c r="B3075" s="2" t="s">
        <v>1007</v>
      </c>
      <c r="C3075" s="5" t="s">
        <v>5102</v>
      </c>
      <c r="D3075" s="2" t="s">
        <v>5103</v>
      </c>
    </row>
    <row r="3076" spans="1:4" ht="12.95" customHeight="1" x14ac:dyDescent="0.25">
      <c r="A3076" s="2" t="s">
        <v>401</v>
      </c>
      <c r="B3076" s="2" t="s">
        <v>1007</v>
      </c>
      <c r="C3076" s="5" t="s">
        <v>5104</v>
      </c>
      <c r="D3076" s="2" t="s">
        <v>4885</v>
      </c>
    </row>
    <row r="3077" spans="1:4" ht="12.95" customHeight="1" x14ac:dyDescent="0.25">
      <c r="A3077" s="2" t="s">
        <v>401</v>
      </c>
      <c r="B3077" s="2" t="s">
        <v>1007</v>
      </c>
      <c r="C3077" s="5" t="s">
        <v>5105</v>
      </c>
      <c r="D3077" s="2" t="s">
        <v>4447</v>
      </c>
    </row>
    <row r="3078" spans="1:4" ht="12.95" customHeight="1" x14ac:dyDescent="0.25">
      <c r="A3078" s="2" t="s">
        <v>401</v>
      </c>
      <c r="B3078" s="2" t="s">
        <v>1007</v>
      </c>
      <c r="C3078" s="5" t="s">
        <v>5106</v>
      </c>
      <c r="D3078" s="2" t="s">
        <v>5107</v>
      </c>
    </row>
    <row r="3079" spans="1:4" ht="12.95" customHeight="1" x14ac:dyDescent="0.25">
      <c r="A3079" s="2" t="s">
        <v>401</v>
      </c>
      <c r="B3079" s="2" t="s">
        <v>1007</v>
      </c>
      <c r="C3079" s="5" t="s">
        <v>5108</v>
      </c>
      <c r="D3079" s="2" t="s">
        <v>4449</v>
      </c>
    </row>
    <row r="3080" spans="1:4" ht="12.95" customHeight="1" x14ac:dyDescent="0.25">
      <c r="A3080" s="2" t="s">
        <v>401</v>
      </c>
      <c r="B3080" s="2" t="s">
        <v>1007</v>
      </c>
      <c r="C3080" s="5" t="s">
        <v>5109</v>
      </c>
      <c r="D3080" s="2" t="s">
        <v>5110</v>
      </c>
    </row>
    <row r="3081" spans="1:4" ht="12.95" customHeight="1" x14ac:dyDescent="0.25">
      <c r="A3081" s="2" t="s">
        <v>401</v>
      </c>
      <c r="B3081" s="2" t="s">
        <v>1007</v>
      </c>
      <c r="C3081" s="5" t="s">
        <v>5111</v>
      </c>
      <c r="D3081" s="2" t="s">
        <v>4453</v>
      </c>
    </row>
    <row r="3082" spans="1:4" ht="12.95" customHeight="1" x14ac:dyDescent="0.25">
      <c r="A3082" s="2" t="s">
        <v>401</v>
      </c>
      <c r="B3082" s="2" t="s">
        <v>1007</v>
      </c>
      <c r="C3082" s="5" t="s">
        <v>5112</v>
      </c>
      <c r="D3082" s="2" t="s">
        <v>5113</v>
      </c>
    </row>
    <row r="3083" spans="1:4" ht="12.95" customHeight="1" x14ac:dyDescent="0.25">
      <c r="A3083" s="2" t="s">
        <v>401</v>
      </c>
      <c r="B3083" s="2" t="s">
        <v>1007</v>
      </c>
      <c r="C3083" s="5" t="s">
        <v>5114</v>
      </c>
      <c r="D3083" s="2" t="s">
        <v>5115</v>
      </c>
    </row>
    <row r="3084" spans="1:4" ht="12.95" customHeight="1" x14ac:dyDescent="0.25">
      <c r="A3084" s="2" t="s">
        <v>401</v>
      </c>
      <c r="B3084" s="2" t="s">
        <v>1007</v>
      </c>
      <c r="C3084" s="5" t="s">
        <v>5116</v>
      </c>
      <c r="D3084" s="2" t="s">
        <v>5117</v>
      </c>
    </row>
    <row r="3085" spans="1:4" ht="12.95" customHeight="1" x14ac:dyDescent="0.25">
      <c r="A3085" s="2" t="s">
        <v>401</v>
      </c>
      <c r="B3085" s="2" t="s">
        <v>1007</v>
      </c>
      <c r="C3085" s="5" t="s">
        <v>5118</v>
      </c>
      <c r="D3085" s="2" t="s">
        <v>5119</v>
      </c>
    </row>
    <row r="3086" spans="1:4" ht="12.95" customHeight="1" x14ac:dyDescent="0.25">
      <c r="A3086" s="2" t="s">
        <v>401</v>
      </c>
      <c r="B3086" s="2" t="s">
        <v>1007</v>
      </c>
      <c r="C3086" s="5" t="s">
        <v>5120</v>
      </c>
      <c r="D3086" s="2" t="s">
        <v>5121</v>
      </c>
    </row>
    <row r="3087" spans="1:4" ht="12.95" customHeight="1" x14ac:dyDescent="0.25">
      <c r="A3087" s="2" t="s">
        <v>401</v>
      </c>
      <c r="B3087" s="2" t="s">
        <v>1007</v>
      </c>
      <c r="C3087" s="5" t="s">
        <v>5122</v>
      </c>
      <c r="D3087" s="2" t="s">
        <v>5123</v>
      </c>
    </row>
    <row r="3088" spans="1:4" ht="12.95" customHeight="1" x14ac:dyDescent="0.25">
      <c r="A3088" s="2" t="s">
        <v>401</v>
      </c>
      <c r="B3088" s="2" t="s">
        <v>1007</v>
      </c>
      <c r="C3088" s="5" t="s">
        <v>5124</v>
      </c>
      <c r="D3088" s="2" t="s">
        <v>5125</v>
      </c>
    </row>
    <row r="3089" spans="1:4" ht="12.95" customHeight="1" x14ac:dyDescent="0.25">
      <c r="A3089" s="2" t="s">
        <v>401</v>
      </c>
      <c r="B3089" s="2" t="s">
        <v>1007</v>
      </c>
      <c r="C3089" s="5" t="s">
        <v>5126</v>
      </c>
      <c r="D3089" s="2" t="s">
        <v>4728</v>
      </c>
    </row>
    <row r="3090" spans="1:4" ht="12.95" customHeight="1" x14ac:dyDescent="0.25">
      <c r="A3090" s="2" t="s">
        <v>401</v>
      </c>
      <c r="B3090" s="2" t="s">
        <v>1007</v>
      </c>
      <c r="C3090" s="5" t="s">
        <v>5127</v>
      </c>
      <c r="D3090" s="2" t="s">
        <v>5128</v>
      </c>
    </row>
    <row r="3091" spans="1:4" ht="12.95" customHeight="1" x14ac:dyDescent="0.25">
      <c r="A3091" s="2" t="s">
        <v>401</v>
      </c>
      <c r="B3091" s="2" t="s">
        <v>1007</v>
      </c>
      <c r="C3091" s="5" t="s">
        <v>5129</v>
      </c>
      <c r="D3091" s="2" t="s">
        <v>5130</v>
      </c>
    </row>
    <row r="3092" spans="1:4" ht="12.95" customHeight="1" x14ac:dyDescent="0.25">
      <c r="A3092" s="2" t="s">
        <v>401</v>
      </c>
      <c r="B3092" s="2" t="s">
        <v>1007</v>
      </c>
      <c r="C3092" s="5" t="s">
        <v>5131</v>
      </c>
      <c r="D3092" s="2" t="s">
        <v>5132</v>
      </c>
    </row>
    <row r="3093" spans="1:4" ht="12.95" customHeight="1" x14ac:dyDescent="0.25">
      <c r="A3093" s="2" t="s">
        <v>401</v>
      </c>
      <c r="B3093" s="2" t="s">
        <v>1007</v>
      </c>
      <c r="C3093" s="5" t="s">
        <v>5133</v>
      </c>
      <c r="D3093" s="2" t="s">
        <v>5134</v>
      </c>
    </row>
    <row r="3094" spans="1:4" ht="12.95" customHeight="1" x14ac:dyDescent="0.25">
      <c r="A3094" s="2" t="s">
        <v>401</v>
      </c>
      <c r="B3094" s="2" t="s">
        <v>1007</v>
      </c>
      <c r="C3094" s="5" t="s">
        <v>5135</v>
      </c>
      <c r="D3094" s="2" t="s">
        <v>5136</v>
      </c>
    </row>
    <row r="3095" spans="1:4" ht="12.95" customHeight="1" x14ac:dyDescent="0.25">
      <c r="A3095" s="2" t="s">
        <v>401</v>
      </c>
      <c r="B3095" s="2" t="s">
        <v>1007</v>
      </c>
      <c r="C3095" s="5" t="s">
        <v>5137</v>
      </c>
      <c r="D3095" s="2" t="s">
        <v>5138</v>
      </c>
    </row>
    <row r="3096" spans="1:4" ht="12.95" customHeight="1" x14ac:dyDescent="0.25">
      <c r="A3096" s="2" t="s">
        <v>401</v>
      </c>
      <c r="B3096" s="2" t="s">
        <v>1007</v>
      </c>
      <c r="C3096" s="5" t="s">
        <v>5139</v>
      </c>
      <c r="D3096" s="2" t="s">
        <v>5140</v>
      </c>
    </row>
    <row r="3097" spans="1:4" ht="12.95" customHeight="1" x14ac:dyDescent="0.25">
      <c r="A3097" s="2" t="s">
        <v>401</v>
      </c>
      <c r="B3097" s="2" t="s">
        <v>1007</v>
      </c>
      <c r="C3097" s="5" t="s">
        <v>5141</v>
      </c>
      <c r="D3097" s="2" t="s">
        <v>5142</v>
      </c>
    </row>
    <row r="3098" spans="1:4" ht="12.95" customHeight="1" x14ac:dyDescent="0.25">
      <c r="A3098" s="2" t="s">
        <v>401</v>
      </c>
      <c r="B3098" s="2" t="s">
        <v>1007</v>
      </c>
      <c r="C3098" s="5" t="s">
        <v>5143</v>
      </c>
      <c r="D3098" s="2" t="s">
        <v>5144</v>
      </c>
    </row>
    <row r="3099" spans="1:4" ht="12.95" customHeight="1" x14ac:dyDescent="0.25">
      <c r="A3099" s="2" t="s">
        <v>401</v>
      </c>
      <c r="B3099" s="2" t="s">
        <v>1007</v>
      </c>
      <c r="C3099" s="5" t="s">
        <v>5145</v>
      </c>
      <c r="D3099" s="2" t="s">
        <v>5146</v>
      </c>
    </row>
    <row r="3100" spans="1:4" ht="12.95" customHeight="1" x14ac:dyDescent="0.25">
      <c r="A3100" s="2" t="s">
        <v>401</v>
      </c>
      <c r="B3100" s="2" t="s">
        <v>1007</v>
      </c>
      <c r="C3100" s="5" t="s">
        <v>5147</v>
      </c>
      <c r="D3100" s="2" t="s">
        <v>5148</v>
      </c>
    </row>
    <row r="3101" spans="1:4" ht="12.95" customHeight="1" x14ac:dyDescent="0.25">
      <c r="A3101" s="2" t="s">
        <v>401</v>
      </c>
      <c r="B3101" s="2" t="s">
        <v>1007</v>
      </c>
      <c r="C3101" s="5" t="s">
        <v>5149</v>
      </c>
      <c r="D3101" s="2" t="s">
        <v>5150</v>
      </c>
    </row>
    <row r="3102" spans="1:4" ht="12.95" customHeight="1" x14ac:dyDescent="0.25">
      <c r="A3102" s="2" t="s">
        <v>401</v>
      </c>
      <c r="B3102" s="2" t="s">
        <v>1007</v>
      </c>
      <c r="C3102" s="5" t="s">
        <v>5151</v>
      </c>
      <c r="D3102" s="2" t="s">
        <v>5152</v>
      </c>
    </row>
    <row r="3103" spans="1:4" ht="12.95" customHeight="1" x14ac:dyDescent="0.25">
      <c r="A3103" s="2" t="s">
        <v>401</v>
      </c>
      <c r="B3103" s="2" t="s">
        <v>1007</v>
      </c>
      <c r="C3103" s="5" t="s">
        <v>5153</v>
      </c>
      <c r="D3103" s="2" t="s">
        <v>5154</v>
      </c>
    </row>
    <row r="3104" spans="1:4" ht="12.95" customHeight="1" x14ac:dyDescent="0.25">
      <c r="A3104" s="2" t="s">
        <v>401</v>
      </c>
      <c r="B3104" s="2" t="s">
        <v>1007</v>
      </c>
      <c r="C3104" s="5" t="s">
        <v>5155</v>
      </c>
      <c r="D3104" s="2" t="s">
        <v>5156</v>
      </c>
    </row>
    <row r="3105" spans="1:4" ht="12.95" customHeight="1" x14ac:dyDescent="0.25">
      <c r="A3105" s="2" t="s">
        <v>401</v>
      </c>
      <c r="B3105" s="2" t="s">
        <v>1007</v>
      </c>
      <c r="C3105" s="5" t="s">
        <v>5157</v>
      </c>
      <c r="D3105" s="2" t="s">
        <v>3392</v>
      </c>
    </row>
    <row r="3106" spans="1:4" ht="12.95" customHeight="1" x14ac:dyDescent="0.25">
      <c r="A3106" s="2" t="s">
        <v>401</v>
      </c>
      <c r="B3106" s="2" t="s">
        <v>1007</v>
      </c>
      <c r="C3106" s="5" t="s">
        <v>5158</v>
      </c>
      <c r="D3106" s="2" t="s">
        <v>3394</v>
      </c>
    </row>
    <row r="3107" spans="1:4" ht="12.95" customHeight="1" x14ac:dyDescent="0.25">
      <c r="A3107" s="2" t="s">
        <v>401</v>
      </c>
      <c r="B3107" s="2" t="s">
        <v>1007</v>
      </c>
      <c r="C3107" s="5" t="s">
        <v>5159</v>
      </c>
      <c r="D3107" s="2" t="s">
        <v>5160</v>
      </c>
    </row>
    <row r="3108" spans="1:4" ht="12.95" customHeight="1" x14ac:dyDescent="0.25">
      <c r="A3108" s="2" t="s">
        <v>401</v>
      </c>
      <c r="B3108" s="2" t="s">
        <v>1007</v>
      </c>
      <c r="C3108" s="5" t="s">
        <v>5161</v>
      </c>
      <c r="D3108" s="2" t="s">
        <v>5162</v>
      </c>
    </row>
    <row r="3109" spans="1:4" ht="12.95" customHeight="1" x14ac:dyDescent="0.25">
      <c r="A3109" s="2" t="s">
        <v>401</v>
      </c>
      <c r="B3109" s="2" t="s">
        <v>1007</v>
      </c>
      <c r="C3109" s="5" t="s">
        <v>5163</v>
      </c>
      <c r="D3109" s="2" t="s">
        <v>4205</v>
      </c>
    </row>
    <row r="3110" spans="1:4" ht="12.95" customHeight="1" x14ac:dyDescent="0.25">
      <c r="A3110" s="2" t="s">
        <v>401</v>
      </c>
      <c r="B3110" s="2" t="s">
        <v>1007</v>
      </c>
      <c r="C3110" s="5" t="s">
        <v>5164</v>
      </c>
      <c r="D3110" s="2" t="s">
        <v>3517</v>
      </c>
    </row>
    <row r="3111" spans="1:4" ht="12.95" customHeight="1" x14ac:dyDescent="0.25">
      <c r="A3111" s="2" t="s">
        <v>401</v>
      </c>
      <c r="B3111" s="2" t="s">
        <v>1007</v>
      </c>
      <c r="C3111" s="5" t="s">
        <v>5165</v>
      </c>
      <c r="D3111" s="2" t="s">
        <v>3519</v>
      </c>
    </row>
    <row r="3112" spans="1:4" ht="12.95" customHeight="1" x14ac:dyDescent="0.25">
      <c r="A3112" s="2" t="s">
        <v>401</v>
      </c>
      <c r="B3112" s="2" t="s">
        <v>1007</v>
      </c>
      <c r="C3112" s="5" t="s">
        <v>5166</v>
      </c>
      <c r="D3112" s="2" t="s">
        <v>3521</v>
      </c>
    </row>
    <row r="3113" spans="1:4" ht="12.95" customHeight="1" x14ac:dyDescent="0.25">
      <c r="A3113" s="2" t="s">
        <v>401</v>
      </c>
      <c r="B3113" s="2" t="s">
        <v>1007</v>
      </c>
      <c r="C3113" s="5" t="s">
        <v>5167</v>
      </c>
      <c r="D3113" s="2" t="s">
        <v>3712</v>
      </c>
    </row>
    <row r="3114" spans="1:4" ht="12.95" customHeight="1" x14ac:dyDescent="0.25">
      <c r="A3114" s="2" t="s">
        <v>401</v>
      </c>
      <c r="B3114" s="2" t="s">
        <v>1007</v>
      </c>
      <c r="C3114" s="5" t="s">
        <v>5168</v>
      </c>
      <c r="D3114" s="2" t="s">
        <v>3525</v>
      </c>
    </row>
    <row r="3115" spans="1:4" ht="12.95" customHeight="1" x14ac:dyDescent="0.25">
      <c r="A3115" s="2" t="s">
        <v>401</v>
      </c>
      <c r="B3115" s="2" t="s">
        <v>1007</v>
      </c>
      <c r="C3115" s="5" t="s">
        <v>5169</v>
      </c>
      <c r="D3115" s="2" t="s">
        <v>3340</v>
      </c>
    </row>
    <row r="3116" spans="1:4" ht="12.95" customHeight="1" x14ac:dyDescent="0.25">
      <c r="A3116" s="2" t="s">
        <v>401</v>
      </c>
      <c r="B3116" s="2" t="s">
        <v>1007</v>
      </c>
      <c r="C3116" s="5" t="s">
        <v>5170</v>
      </c>
      <c r="D3116" s="2" t="s">
        <v>3528</v>
      </c>
    </row>
    <row r="3117" spans="1:4" ht="12.95" customHeight="1" x14ac:dyDescent="0.25">
      <c r="A3117" s="2" t="s">
        <v>401</v>
      </c>
      <c r="B3117" s="2" t="s">
        <v>1007</v>
      </c>
      <c r="C3117" s="5" t="s">
        <v>5171</v>
      </c>
      <c r="D3117" s="2" t="s">
        <v>3342</v>
      </c>
    </row>
    <row r="3118" spans="1:4" ht="12.95" customHeight="1" x14ac:dyDescent="0.25">
      <c r="A3118" s="2" t="s">
        <v>401</v>
      </c>
      <c r="B3118" s="2" t="s">
        <v>1007</v>
      </c>
      <c r="C3118" s="5" t="s">
        <v>5172</v>
      </c>
      <c r="D3118" s="2" t="s">
        <v>3717</v>
      </c>
    </row>
    <row r="3119" spans="1:4" ht="12.95" customHeight="1" x14ac:dyDescent="0.25">
      <c r="A3119" s="2" t="s">
        <v>401</v>
      </c>
      <c r="B3119" s="2" t="s">
        <v>1007</v>
      </c>
      <c r="C3119" s="5" t="s">
        <v>5173</v>
      </c>
      <c r="D3119" s="2" t="s">
        <v>4676</v>
      </c>
    </row>
    <row r="3120" spans="1:4" ht="12.95" customHeight="1" x14ac:dyDescent="0.25">
      <c r="A3120" s="2" t="s">
        <v>401</v>
      </c>
      <c r="B3120" s="2" t="s">
        <v>1007</v>
      </c>
      <c r="C3120" s="5" t="s">
        <v>5174</v>
      </c>
      <c r="D3120" s="2" t="s">
        <v>5175</v>
      </c>
    </row>
    <row r="3121" spans="1:4" ht="12.95" customHeight="1" x14ac:dyDescent="0.25">
      <c r="A3121" s="2" t="s">
        <v>401</v>
      </c>
      <c r="B3121" s="2" t="s">
        <v>1007</v>
      </c>
      <c r="C3121" s="5" t="s">
        <v>5176</v>
      </c>
      <c r="D3121" s="2" t="s">
        <v>5177</v>
      </c>
    </row>
    <row r="3122" spans="1:4" ht="12.95" customHeight="1" x14ac:dyDescent="0.25">
      <c r="A3122" s="2" t="s">
        <v>401</v>
      </c>
      <c r="B3122" s="2" t="s">
        <v>1007</v>
      </c>
      <c r="C3122" s="5" t="s">
        <v>5178</v>
      </c>
      <c r="D3122" s="2" t="s">
        <v>5179</v>
      </c>
    </row>
    <row r="3123" spans="1:4" ht="12.95" customHeight="1" x14ac:dyDescent="0.25">
      <c r="A3123" s="2" t="s">
        <v>401</v>
      </c>
      <c r="B3123" s="2" t="s">
        <v>1007</v>
      </c>
      <c r="C3123" s="5" t="s">
        <v>5180</v>
      </c>
      <c r="D3123" s="2" t="s">
        <v>5181</v>
      </c>
    </row>
    <row r="3124" spans="1:4" ht="12.95" customHeight="1" x14ac:dyDescent="0.25">
      <c r="A3124" s="2" t="s">
        <v>401</v>
      </c>
      <c r="B3124" s="2" t="s">
        <v>1007</v>
      </c>
      <c r="C3124" s="5" t="s">
        <v>5182</v>
      </c>
      <c r="D3124" s="2" t="s">
        <v>5183</v>
      </c>
    </row>
    <row r="3125" spans="1:4" ht="12.95" customHeight="1" x14ac:dyDescent="0.25">
      <c r="A3125" s="2" t="s">
        <v>401</v>
      </c>
      <c r="B3125" s="2" t="s">
        <v>1007</v>
      </c>
      <c r="C3125" s="5" t="s">
        <v>5184</v>
      </c>
      <c r="D3125" s="2" t="s">
        <v>5185</v>
      </c>
    </row>
    <row r="3126" spans="1:4" ht="12.95" customHeight="1" x14ac:dyDescent="0.25">
      <c r="A3126" s="2" t="s">
        <v>401</v>
      </c>
      <c r="B3126" s="2" t="s">
        <v>1007</v>
      </c>
      <c r="C3126" s="5" t="s">
        <v>5186</v>
      </c>
      <c r="D3126" s="2" t="s">
        <v>5187</v>
      </c>
    </row>
    <row r="3127" spans="1:4" ht="12.95" customHeight="1" x14ac:dyDescent="0.25">
      <c r="A3127" s="2" t="s">
        <v>401</v>
      </c>
      <c r="B3127" s="2" t="s">
        <v>1007</v>
      </c>
      <c r="C3127" s="5" t="s">
        <v>5188</v>
      </c>
      <c r="D3127" s="2" t="s">
        <v>5189</v>
      </c>
    </row>
    <row r="3128" spans="1:4" ht="12.95" customHeight="1" x14ac:dyDescent="0.25">
      <c r="A3128" s="2" t="s">
        <v>401</v>
      </c>
      <c r="B3128" s="2" t="s">
        <v>1007</v>
      </c>
      <c r="C3128" s="5" t="s">
        <v>5190</v>
      </c>
      <c r="D3128" s="2" t="s">
        <v>5191</v>
      </c>
    </row>
    <row r="3129" spans="1:4" ht="12.95" customHeight="1" x14ac:dyDescent="0.25">
      <c r="A3129" s="2" t="s">
        <v>401</v>
      </c>
      <c r="B3129" s="2" t="s">
        <v>1007</v>
      </c>
      <c r="C3129" s="5" t="s">
        <v>5192</v>
      </c>
      <c r="D3129" s="2" t="s">
        <v>5193</v>
      </c>
    </row>
    <row r="3130" spans="1:4" ht="12.95" customHeight="1" x14ac:dyDescent="0.25">
      <c r="A3130" s="2" t="s">
        <v>401</v>
      </c>
      <c r="B3130" s="2" t="s">
        <v>1007</v>
      </c>
      <c r="C3130" s="5" t="s">
        <v>5194</v>
      </c>
      <c r="D3130" s="2" t="s">
        <v>5195</v>
      </c>
    </row>
    <row r="3131" spans="1:4" ht="12.95" customHeight="1" x14ac:dyDescent="0.25">
      <c r="A3131" s="2" t="s">
        <v>401</v>
      </c>
      <c r="B3131" s="2" t="s">
        <v>1007</v>
      </c>
      <c r="C3131" s="5" t="s">
        <v>5196</v>
      </c>
      <c r="D3131" s="2" t="s">
        <v>5197</v>
      </c>
    </row>
    <row r="3132" spans="1:4" ht="12.95" customHeight="1" x14ac:dyDescent="0.25">
      <c r="A3132" s="2" t="s">
        <v>401</v>
      </c>
      <c r="B3132" s="2" t="s">
        <v>1007</v>
      </c>
      <c r="C3132" s="5" t="s">
        <v>5198</v>
      </c>
      <c r="D3132" s="2" t="s">
        <v>5199</v>
      </c>
    </row>
    <row r="3133" spans="1:4" ht="12.95" customHeight="1" x14ac:dyDescent="0.25">
      <c r="A3133" s="2" t="s">
        <v>401</v>
      </c>
      <c r="B3133" s="2" t="s">
        <v>1007</v>
      </c>
      <c r="C3133" s="5" t="s">
        <v>5200</v>
      </c>
      <c r="D3133" s="2" t="s">
        <v>5201</v>
      </c>
    </row>
    <row r="3134" spans="1:4" ht="12.95" customHeight="1" x14ac:dyDescent="0.25">
      <c r="A3134" s="2" t="s">
        <v>401</v>
      </c>
      <c r="B3134" s="2" t="s">
        <v>1007</v>
      </c>
      <c r="C3134" s="5" t="s">
        <v>5202</v>
      </c>
      <c r="D3134" s="2" t="s">
        <v>5203</v>
      </c>
    </row>
    <row r="3135" spans="1:4" ht="12.95" customHeight="1" x14ac:dyDescent="0.25">
      <c r="A3135" s="2" t="s">
        <v>401</v>
      </c>
      <c r="B3135" s="2" t="s">
        <v>1007</v>
      </c>
      <c r="C3135" s="5" t="s">
        <v>5204</v>
      </c>
      <c r="D3135" s="2" t="s">
        <v>5205</v>
      </c>
    </row>
    <row r="3136" spans="1:4" ht="12.95" customHeight="1" x14ac:dyDescent="0.25">
      <c r="A3136" s="2" t="s">
        <v>401</v>
      </c>
      <c r="B3136" s="2" t="s">
        <v>1007</v>
      </c>
      <c r="C3136" s="5" t="s">
        <v>5206</v>
      </c>
      <c r="D3136" s="2" t="s">
        <v>5207</v>
      </c>
    </row>
    <row r="3137" spans="1:4" ht="12.95" customHeight="1" x14ac:dyDescent="0.25">
      <c r="A3137" s="2" t="s">
        <v>401</v>
      </c>
      <c r="B3137" s="2" t="s">
        <v>1007</v>
      </c>
      <c r="C3137" s="5" t="s">
        <v>5208</v>
      </c>
      <c r="D3137" s="2" t="s">
        <v>3280</v>
      </c>
    </row>
    <row r="3138" spans="1:4" ht="12.95" customHeight="1" x14ac:dyDescent="0.25">
      <c r="A3138" s="2" t="s">
        <v>401</v>
      </c>
      <c r="B3138" s="2" t="s">
        <v>1007</v>
      </c>
      <c r="C3138" s="5" t="s">
        <v>5209</v>
      </c>
      <c r="D3138" s="2" t="s">
        <v>3394</v>
      </c>
    </row>
    <row r="3139" spans="1:4" ht="12.95" customHeight="1" x14ac:dyDescent="0.25">
      <c r="A3139" s="2" t="s">
        <v>401</v>
      </c>
      <c r="B3139" s="2" t="s">
        <v>1007</v>
      </c>
      <c r="C3139" s="5" t="s">
        <v>5210</v>
      </c>
      <c r="D3139" s="2" t="s">
        <v>5211</v>
      </c>
    </row>
    <row r="3140" spans="1:4" ht="12.95" customHeight="1" x14ac:dyDescent="0.25">
      <c r="A3140" s="2" t="s">
        <v>401</v>
      </c>
      <c r="B3140" s="2" t="s">
        <v>1007</v>
      </c>
      <c r="C3140" s="5" t="s">
        <v>5212</v>
      </c>
      <c r="D3140" s="2" t="s">
        <v>5213</v>
      </c>
    </row>
    <row r="3141" spans="1:4" ht="12.95" customHeight="1" x14ac:dyDescent="0.25">
      <c r="A3141" s="2" t="s">
        <v>401</v>
      </c>
      <c r="B3141" s="2" t="s">
        <v>1007</v>
      </c>
      <c r="C3141" s="5" t="s">
        <v>5214</v>
      </c>
      <c r="D3141" s="2" t="s">
        <v>5215</v>
      </c>
    </row>
    <row r="3142" spans="1:4" ht="12.95" customHeight="1" x14ac:dyDescent="0.25">
      <c r="A3142" s="2" t="s">
        <v>401</v>
      </c>
      <c r="B3142" s="2" t="s">
        <v>1007</v>
      </c>
      <c r="C3142" s="5" t="s">
        <v>5216</v>
      </c>
      <c r="D3142" s="2" t="s">
        <v>5075</v>
      </c>
    </row>
    <row r="3143" spans="1:4" ht="12.95" customHeight="1" x14ac:dyDescent="0.25">
      <c r="A3143" s="2" t="s">
        <v>401</v>
      </c>
      <c r="B3143" s="2" t="s">
        <v>1007</v>
      </c>
      <c r="C3143" s="5" t="s">
        <v>5217</v>
      </c>
      <c r="D3143" s="2" t="s">
        <v>5218</v>
      </c>
    </row>
    <row r="3144" spans="1:4" ht="12.95" customHeight="1" x14ac:dyDescent="0.25">
      <c r="A3144" s="2" t="s">
        <v>401</v>
      </c>
      <c r="B3144" s="2" t="s">
        <v>1007</v>
      </c>
      <c r="C3144" s="5" t="s">
        <v>5219</v>
      </c>
      <c r="D3144" s="2" t="s">
        <v>3312</v>
      </c>
    </row>
    <row r="3145" spans="1:4" ht="12.95" customHeight="1" x14ac:dyDescent="0.25">
      <c r="A3145" s="2" t="s">
        <v>401</v>
      </c>
      <c r="B3145" s="2" t="s">
        <v>1007</v>
      </c>
      <c r="C3145" s="5" t="s">
        <v>5220</v>
      </c>
      <c r="D3145" s="2" t="s">
        <v>3314</v>
      </c>
    </row>
    <row r="3146" spans="1:4" ht="12.95" customHeight="1" x14ac:dyDescent="0.25">
      <c r="A3146" s="2" t="s">
        <v>401</v>
      </c>
      <c r="B3146" s="2" t="s">
        <v>1007</v>
      </c>
      <c r="C3146" s="5" t="s">
        <v>5221</v>
      </c>
      <c r="D3146" s="2" t="s">
        <v>3519</v>
      </c>
    </row>
    <row r="3147" spans="1:4" ht="12.95" customHeight="1" x14ac:dyDescent="0.25">
      <c r="A3147" s="2" t="s">
        <v>401</v>
      </c>
      <c r="B3147" s="2" t="s">
        <v>1007</v>
      </c>
      <c r="C3147" s="5" t="s">
        <v>5222</v>
      </c>
      <c r="D3147" s="2" t="s">
        <v>3340</v>
      </c>
    </row>
    <row r="3148" spans="1:4" ht="12.95" customHeight="1" x14ac:dyDescent="0.25">
      <c r="A3148" s="2" t="s">
        <v>401</v>
      </c>
      <c r="B3148" s="2" t="s">
        <v>1007</v>
      </c>
      <c r="C3148" s="5" t="s">
        <v>5223</v>
      </c>
      <c r="D3148" s="2" t="s">
        <v>3528</v>
      </c>
    </row>
    <row r="3149" spans="1:4" ht="12.95" customHeight="1" x14ac:dyDescent="0.25">
      <c r="A3149" s="2" t="s">
        <v>401</v>
      </c>
      <c r="B3149" s="2" t="s">
        <v>1007</v>
      </c>
      <c r="C3149" s="5" t="s">
        <v>5224</v>
      </c>
      <c r="D3149" s="2" t="s">
        <v>4671</v>
      </c>
    </row>
    <row r="3150" spans="1:4" ht="12.95" customHeight="1" x14ac:dyDescent="0.25">
      <c r="A3150" s="2" t="s">
        <v>401</v>
      </c>
      <c r="B3150" s="2" t="s">
        <v>1007</v>
      </c>
      <c r="C3150" s="5" t="s">
        <v>5225</v>
      </c>
      <c r="D3150" s="2" t="s">
        <v>3342</v>
      </c>
    </row>
    <row r="3151" spans="1:4" ht="12.95" customHeight="1" x14ac:dyDescent="0.25">
      <c r="A3151" s="2" t="s">
        <v>401</v>
      </c>
      <c r="B3151" s="2" t="s">
        <v>1007</v>
      </c>
      <c r="C3151" s="5" t="s">
        <v>5226</v>
      </c>
      <c r="D3151" s="2" t="s">
        <v>3717</v>
      </c>
    </row>
    <row r="3152" spans="1:4" ht="12.95" customHeight="1" x14ac:dyDescent="0.25">
      <c r="A3152" s="2" t="s">
        <v>401</v>
      </c>
      <c r="B3152" s="2" t="s">
        <v>1007</v>
      </c>
      <c r="C3152" s="5" t="s">
        <v>5227</v>
      </c>
      <c r="D3152" s="2" t="s">
        <v>4676</v>
      </c>
    </row>
    <row r="3153" spans="1:4" ht="12.95" customHeight="1" x14ac:dyDescent="0.25">
      <c r="A3153" s="2" t="s">
        <v>401</v>
      </c>
      <c r="B3153" s="2" t="s">
        <v>1007</v>
      </c>
      <c r="C3153" s="5" t="s">
        <v>5228</v>
      </c>
      <c r="D3153" s="2" t="s">
        <v>5229</v>
      </c>
    </row>
    <row r="3154" spans="1:4" ht="12.95" customHeight="1" x14ac:dyDescent="0.25">
      <c r="A3154" s="2" t="s">
        <v>401</v>
      </c>
      <c r="B3154" s="2" t="s">
        <v>1007</v>
      </c>
      <c r="C3154" s="5" t="s">
        <v>5230</v>
      </c>
      <c r="D3154" s="2" t="s">
        <v>5231</v>
      </c>
    </row>
    <row r="3155" spans="1:4" ht="12.95" customHeight="1" x14ac:dyDescent="0.25">
      <c r="A3155" s="2" t="s">
        <v>401</v>
      </c>
      <c r="B3155" s="2" t="s">
        <v>1007</v>
      </c>
      <c r="C3155" s="5" t="s">
        <v>5232</v>
      </c>
      <c r="D3155" s="2" t="s">
        <v>5233</v>
      </c>
    </row>
    <row r="3156" spans="1:4" ht="12.95" customHeight="1" x14ac:dyDescent="0.25">
      <c r="A3156" s="2" t="s">
        <v>401</v>
      </c>
      <c r="B3156" s="2" t="s">
        <v>1007</v>
      </c>
      <c r="C3156" s="5" t="s">
        <v>5234</v>
      </c>
      <c r="D3156" s="2" t="s">
        <v>5235</v>
      </c>
    </row>
    <row r="3157" spans="1:4" ht="12.95" customHeight="1" x14ac:dyDescent="0.25">
      <c r="A3157" s="2" t="s">
        <v>401</v>
      </c>
      <c r="B3157" s="2" t="s">
        <v>1007</v>
      </c>
      <c r="C3157" s="5" t="s">
        <v>5236</v>
      </c>
      <c r="D3157" s="2" t="s">
        <v>5237</v>
      </c>
    </row>
    <row r="3158" spans="1:4" ht="12.95" customHeight="1" x14ac:dyDescent="0.25">
      <c r="A3158" s="2" t="s">
        <v>401</v>
      </c>
      <c r="B3158" s="2" t="s">
        <v>1007</v>
      </c>
      <c r="C3158" s="5" t="s">
        <v>5238</v>
      </c>
      <c r="D3158" s="2" t="s">
        <v>5239</v>
      </c>
    </row>
    <row r="3159" spans="1:4" ht="12.95" customHeight="1" x14ac:dyDescent="0.25">
      <c r="A3159" s="2" t="s">
        <v>401</v>
      </c>
      <c r="B3159" s="2" t="s">
        <v>1007</v>
      </c>
      <c r="C3159" s="5" t="s">
        <v>5240</v>
      </c>
      <c r="D3159" s="2" t="s">
        <v>5241</v>
      </c>
    </row>
    <row r="3160" spans="1:4" ht="12.95" customHeight="1" x14ac:dyDescent="0.25">
      <c r="A3160" s="2" t="s">
        <v>401</v>
      </c>
      <c r="B3160" s="2" t="s">
        <v>1007</v>
      </c>
      <c r="C3160" s="5" t="s">
        <v>5242</v>
      </c>
      <c r="D3160" s="2" t="s">
        <v>5243</v>
      </c>
    </row>
    <row r="3161" spans="1:4" ht="12.95" customHeight="1" x14ac:dyDescent="0.25">
      <c r="A3161" s="2" t="s">
        <v>401</v>
      </c>
      <c r="B3161" s="2" t="s">
        <v>1007</v>
      </c>
      <c r="C3161" s="5" t="s">
        <v>5244</v>
      </c>
      <c r="D3161" s="2" t="s">
        <v>5245</v>
      </c>
    </row>
    <row r="3162" spans="1:4" ht="12.95" customHeight="1" x14ac:dyDescent="0.25">
      <c r="A3162" s="2" t="s">
        <v>401</v>
      </c>
      <c r="B3162" s="2" t="s">
        <v>1007</v>
      </c>
      <c r="C3162" s="5" t="s">
        <v>5246</v>
      </c>
      <c r="D3162" s="2" t="s">
        <v>3392</v>
      </c>
    </row>
    <row r="3163" spans="1:4" ht="12.95" customHeight="1" x14ac:dyDescent="0.25">
      <c r="A3163" s="2" t="s">
        <v>401</v>
      </c>
      <c r="B3163" s="2" t="s">
        <v>1007</v>
      </c>
      <c r="C3163" s="5" t="s">
        <v>5247</v>
      </c>
      <c r="D3163" s="2" t="s">
        <v>3394</v>
      </c>
    </row>
    <row r="3164" spans="1:4" ht="12.95" customHeight="1" x14ac:dyDescent="0.25">
      <c r="A3164" s="2" t="s">
        <v>401</v>
      </c>
      <c r="B3164" s="2" t="s">
        <v>1007</v>
      </c>
      <c r="C3164" s="5" t="s">
        <v>5248</v>
      </c>
      <c r="D3164" s="2" t="s">
        <v>5249</v>
      </c>
    </row>
    <row r="3165" spans="1:4" ht="12.95" customHeight="1" x14ac:dyDescent="0.25">
      <c r="A3165" s="2" t="s">
        <v>401</v>
      </c>
      <c r="B3165" s="2" t="s">
        <v>1007</v>
      </c>
      <c r="C3165" s="5" t="s">
        <v>5250</v>
      </c>
      <c r="D3165" s="2" t="s">
        <v>5251</v>
      </c>
    </row>
    <row r="3166" spans="1:4" ht="12.95" customHeight="1" x14ac:dyDescent="0.25">
      <c r="A3166" s="2" t="s">
        <v>401</v>
      </c>
      <c r="B3166" s="2" t="s">
        <v>1007</v>
      </c>
      <c r="C3166" s="5" t="s">
        <v>5252</v>
      </c>
      <c r="D3166" s="2" t="s">
        <v>5253</v>
      </c>
    </row>
    <row r="3167" spans="1:4" ht="12.95" customHeight="1" x14ac:dyDescent="0.25">
      <c r="A3167" s="2" t="s">
        <v>401</v>
      </c>
      <c r="B3167" s="2" t="s">
        <v>1007</v>
      </c>
      <c r="C3167" s="5" t="s">
        <v>5254</v>
      </c>
      <c r="D3167" s="2" t="s">
        <v>5255</v>
      </c>
    </row>
    <row r="3168" spans="1:4" ht="12.95" customHeight="1" x14ac:dyDescent="0.25">
      <c r="A3168" s="2" t="s">
        <v>401</v>
      </c>
      <c r="B3168" s="2" t="s">
        <v>1007</v>
      </c>
      <c r="C3168" s="5" t="s">
        <v>5256</v>
      </c>
      <c r="D3168" s="2" t="s">
        <v>5257</v>
      </c>
    </row>
    <row r="3169" spans="1:4" ht="12.95" customHeight="1" x14ac:dyDescent="0.25">
      <c r="A3169" s="2" t="s">
        <v>401</v>
      </c>
      <c r="B3169" s="2" t="s">
        <v>1007</v>
      </c>
      <c r="C3169" s="5" t="s">
        <v>5258</v>
      </c>
      <c r="D3169" s="2" t="s">
        <v>5259</v>
      </c>
    </row>
    <row r="3170" spans="1:4" ht="12.95" customHeight="1" x14ac:dyDescent="0.25">
      <c r="A3170" s="2" t="s">
        <v>401</v>
      </c>
      <c r="B3170" s="2" t="s">
        <v>1007</v>
      </c>
      <c r="C3170" s="5" t="s">
        <v>5260</v>
      </c>
      <c r="D3170" s="2" t="s">
        <v>5261</v>
      </c>
    </row>
    <row r="3171" spans="1:4" ht="12.95" customHeight="1" x14ac:dyDescent="0.25">
      <c r="A3171" s="2" t="s">
        <v>401</v>
      </c>
      <c r="B3171" s="2" t="s">
        <v>1007</v>
      </c>
      <c r="C3171" s="5" t="s">
        <v>5262</v>
      </c>
      <c r="D3171" s="2" t="s">
        <v>3336</v>
      </c>
    </row>
    <row r="3172" spans="1:4" ht="12.95" customHeight="1" x14ac:dyDescent="0.25">
      <c r="A3172" s="2" t="s">
        <v>401</v>
      </c>
      <c r="B3172" s="2" t="s">
        <v>1007</v>
      </c>
      <c r="C3172" s="5" t="s">
        <v>5263</v>
      </c>
      <c r="D3172" s="2" t="s">
        <v>5264</v>
      </c>
    </row>
    <row r="3173" spans="1:4" ht="12.95" customHeight="1" x14ac:dyDescent="0.25">
      <c r="A3173" s="2" t="s">
        <v>401</v>
      </c>
      <c r="B3173" s="2" t="s">
        <v>1007</v>
      </c>
      <c r="C3173" s="5" t="s">
        <v>5265</v>
      </c>
      <c r="D3173" s="2" t="s">
        <v>5266</v>
      </c>
    </row>
    <row r="3174" spans="1:4" ht="12.95" customHeight="1" x14ac:dyDescent="0.25">
      <c r="A3174" s="2" t="s">
        <v>401</v>
      </c>
      <c r="B3174" s="2" t="s">
        <v>1007</v>
      </c>
      <c r="C3174" s="5" t="s">
        <v>5267</v>
      </c>
      <c r="D3174" s="2" t="s">
        <v>5268</v>
      </c>
    </row>
    <row r="3175" spans="1:4" ht="12.95" customHeight="1" x14ac:dyDescent="0.25">
      <c r="A3175" s="2" t="s">
        <v>401</v>
      </c>
      <c r="B3175" s="2" t="s">
        <v>1007</v>
      </c>
      <c r="C3175" s="5" t="s">
        <v>5269</v>
      </c>
      <c r="D3175" s="2" t="s">
        <v>5270</v>
      </c>
    </row>
    <row r="3176" spans="1:4" ht="12.95" customHeight="1" x14ac:dyDescent="0.25">
      <c r="A3176" s="2" t="s">
        <v>401</v>
      </c>
      <c r="B3176" s="2" t="s">
        <v>1007</v>
      </c>
      <c r="C3176" s="5" t="s">
        <v>5271</v>
      </c>
      <c r="D3176" s="2" t="s">
        <v>5272</v>
      </c>
    </row>
    <row r="3177" spans="1:4" ht="12.95" customHeight="1" x14ac:dyDescent="0.25">
      <c r="A3177" s="2" t="s">
        <v>401</v>
      </c>
      <c r="B3177" s="2" t="s">
        <v>1007</v>
      </c>
      <c r="C3177" s="5" t="s">
        <v>5273</v>
      </c>
      <c r="D3177" s="2" t="s">
        <v>5274</v>
      </c>
    </row>
    <row r="3178" spans="1:4" ht="12.95" customHeight="1" x14ac:dyDescent="0.25">
      <c r="A3178" s="2" t="s">
        <v>401</v>
      </c>
      <c r="B3178" s="2" t="s">
        <v>1007</v>
      </c>
      <c r="C3178" s="5" t="s">
        <v>5275</v>
      </c>
      <c r="D3178" s="2" t="s">
        <v>5276</v>
      </c>
    </row>
    <row r="3179" spans="1:4" ht="12.95" customHeight="1" x14ac:dyDescent="0.25">
      <c r="A3179" s="2" t="s">
        <v>401</v>
      </c>
      <c r="B3179" s="2" t="s">
        <v>1007</v>
      </c>
      <c r="C3179" s="5" t="s">
        <v>5277</v>
      </c>
      <c r="D3179" s="2" t="s">
        <v>5278</v>
      </c>
    </row>
    <row r="3180" spans="1:4" ht="12.95" customHeight="1" x14ac:dyDescent="0.25">
      <c r="A3180" s="2" t="s">
        <v>401</v>
      </c>
      <c r="B3180" s="2" t="s">
        <v>1007</v>
      </c>
      <c r="C3180" s="5" t="s">
        <v>5279</v>
      </c>
      <c r="D3180" s="2" t="s">
        <v>4621</v>
      </c>
    </row>
    <row r="3181" spans="1:4" ht="12.95" customHeight="1" x14ac:dyDescent="0.25">
      <c r="A3181" s="2" t="s">
        <v>401</v>
      </c>
      <c r="B3181" s="2" t="s">
        <v>1007</v>
      </c>
      <c r="C3181" s="5" t="s">
        <v>5280</v>
      </c>
      <c r="D3181" s="2" t="s">
        <v>4623</v>
      </c>
    </row>
    <row r="3182" spans="1:4" ht="12.95" customHeight="1" x14ac:dyDescent="0.25">
      <c r="A3182" s="2" t="s">
        <v>401</v>
      </c>
      <c r="B3182" s="2" t="s">
        <v>1007</v>
      </c>
      <c r="C3182" s="5" t="s">
        <v>5281</v>
      </c>
      <c r="D3182" s="2" t="s">
        <v>4625</v>
      </c>
    </row>
    <row r="3183" spans="1:4" ht="12.95" customHeight="1" x14ac:dyDescent="0.25">
      <c r="A3183" s="2" t="s">
        <v>401</v>
      </c>
      <c r="B3183" s="2" t="s">
        <v>1007</v>
      </c>
      <c r="C3183" s="5" t="s">
        <v>5282</v>
      </c>
      <c r="D3183" s="2" t="s">
        <v>4887</v>
      </c>
    </row>
    <row r="3184" spans="1:4" ht="12.95" customHeight="1" x14ac:dyDescent="0.25">
      <c r="A3184" s="2" t="s">
        <v>401</v>
      </c>
      <c r="B3184" s="2" t="s">
        <v>1007</v>
      </c>
      <c r="C3184" s="5" t="s">
        <v>5283</v>
      </c>
      <c r="D3184" s="2" t="s">
        <v>5284</v>
      </c>
    </row>
    <row r="3185" spans="1:4" ht="12.95" customHeight="1" x14ac:dyDescent="0.25">
      <c r="A3185" s="2" t="s">
        <v>401</v>
      </c>
      <c r="B3185" s="2" t="s">
        <v>1007</v>
      </c>
      <c r="C3185" s="5" t="s">
        <v>5285</v>
      </c>
      <c r="D3185" s="2" t="s">
        <v>5286</v>
      </c>
    </row>
    <row r="3186" spans="1:4" ht="12.95" customHeight="1" x14ac:dyDescent="0.25">
      <c r="A3186" s="2" t="s">
        <v>401</v>
      </c>
      <c r="B3186" s="2" t="s">
        <v>1007</v>
      </c>
      <c r="C3186" s="5" t="s">
        <v>5287</v>
      </c>
      <c r="D3186" s="2" t="s">
        <v>5288</v>
      </c>
    </row>
    <row r="3187" spans="1:4" ht="12.95" customHeight="1" x14ac:dyDescent="0.25">
      <c r="A3187" s="2" t="s">
        <v>401</v>
      </c>
      <c r="B3187" s="2" t="s">
        <v>1007</v>
      </c>
      <c r="C3187" s="5" t="s">
        <v>5289</v>
      </c>
      <c r="D3187" s="2" t="s">
        <v>5290</v>
      </c>
    </row>
    <row r="3188" spans="1:4" ht="12.95" customHeight="1" x14ac:dyDescent="0.25">
      <c r="A3188" s="2" t="s">
        <v>401</v>
      </c>
      <c r="B3188" s="2" t="s">
        <v>1007</v>
      </c>
      <c r="C3188" s="5" t="s">
        <v>5291</v>
      </c>
      <c r="D3188" s="2" t="s">
        <v>5292</v>
      </c>
    </row>
    <row r="3189" spans="1:4" ht="12.95" customHeight="1" x14ac:dyDescent="0.25">
      <c r="A3189" s="2" t="s">
        <v>401</v>
      </c>
      <c r="B3189" s="2" t="s">
        <v>1007</v>
      </c>
      <c r="C3189" s="5" t="s">
        <v>5293</v>
      </c>
      <c r="D3189" s="2" t="s">
        <v>5294</v>
      </c>
    </row>
    <row r="3190" spans="1:4" ht="12.95" customHeight="1" x14ac:dyDescent="0.25">
      <c r="A3190" s="2" t="s">
        <v>401</v>
      </c>
      <c r="B3190" s="2" t="s">
        <v>1007</v>
      </c>
      <c r="C3190" s="5" t="s">
        <v>5295</v>
      </c>
      <c r="D3190" s="2" t="s">
        <v>5296</v>
      </c>
    </row>
    <row r="3191" spans="1:4" ht="12.95" customHeight="1" x14ac:dyDescent="0.25">
      <c r="A3191" s="2" t="s">
        <v>401</v>
      </c>
      <c r="B3191" s="2" t="s">
        <v>1007</v>
      </c>
      <c r="C3191" s="5" t="s">
        <v>5297</v>
      </c>
      <c r="D3191" s="2" t="s">
        <v>5298</v>
      </c>
    </row>
    <row r="3192" spans="1:4" ht="12.95" customHeight="1" x14ac:dyDescent="0.25">
      <c r="A3192" s="2" t="s">
        <v>401</v>
      </c>
      <c r="B3192" s="2" t="s">
        <v>1007</v>
      </c>
      <c r="C3192" s="5" t="s">
        <v>5299</v>
      </c>
      <c r="D3192" s="2" t="s">
        <v>5300</v>
      </c>
    </row>
    <row r="3193" spans="1:4" ht="12.95" customHeight="1" x14ac:dyDescent="0.25">
      <c r="A3193" s="2" t="s">
        <v>401</v>
      </c>
      <c r="B3193" s="2" t="s">
        <v>1007</v>
      </c>
      <c r="C3193" s="5" t="s">
        <v>5301</v>
      </c>
      <c r="D3193" s="2" t="s">
        <v>5302</v>
      </c>
    </row>
    <row r="3194" spans="1:4" ht="12.95" customHeight="1" x14ac:dyDescent="0.25">
      <c r="A3194" s="2" t="s">
        <v>401</v>
      </c>
      <c r="B3194" s="2" t="s">
        <v>1007</v>
      </c>
      <c r="C3194" s="5" t="s">
        <v>5303</v>
      </c>
      <c r="D3194" s="2" t="s">
        <v>5304</v>
      </c>
    </row>
    <row r="3195" spans="1:4" ht="12.95" customHeight="1" x14ac:dyDescent="0.25">
      <c r="A3195" s="2" t="s">
        <v>401</v>
      </c>
      <c r="B3195" s="2" t="s">
        <v>1007</v>
      </c>
      <c r="C3195" s="5" t="s">
        <v>5305</v>
      </c>
      <c r="D3195" s="2" t="s">
        <v>5306</v>
      </c>
    </row>
    <row r="3196" spans="1:4" ht="12.95" customHeight="1" x14ac:dyDescent="0.25">
      <c r="A3196" s="2" t="s">
        <v>401</v>
      </c>
      <c r="B3196" s="2" t="s">
        <v>1007</v>
      </c>
      <c r="C3196" s="5" t="s">
        <v>5307</v>
      </c>
      <c r="D3196" s="2" t="s">
        <v>5308</v>
      </c>
    </row>
    <row r="3197" spans="1:4" ht="12.95" customHeight="1" x14ac:dyDescent="0.25">
      <c r="A3197" s="2" t="s">
        <v>401</v>
      </c>
      <c r="B3197" s="2" t="s">
        <v>1007</v>
      </c>
      <c r="C3197" s="5" t="s">
        <v>5309</v>
      </c>
      <c r="D3197" s="2" t="s">
        <v>5310</v>
      </c>
    </row>
    <row r="3198" spans="1:4" ht="12.95" customHeight="1" x14ac:dyDescent="0.25">
      <c r="A3198" s="2" t="s">
        <v>401</v>
      </c>
      <c r="B3198" s="2" t="s">
        <v>1007</v>
      </c>
      <c r="C3198" s="5" t="s">
        <v>5311</v>
      </c>
      <c r="D3198" s="2" t="s">
        <v>3392</v>
      </c>
    </row>
    <row r="3199" spans="1:4" ht="12.95" customHeight="1" x14ac:dyDescent="0.25">
      <c r="A3199" s="2" t="s">
        <v>401</v>
      </c>
      <c r="B3199" s="2" t="s">
        <v>1007</v>
      </c>
      <c r="C3199" s="5" t="s">
        <v>5312</v>
      </c>
      <c r="D3199" s="2" t="s">
        <v>3394</v>
      </c>
    </row>
    <row r="3200" spans="1:4" ht="12.95" customHeight="1" x14ac:dyDescent="0.25">
      <c r="A3200" s="2" t="s">
        <v>401</v>
      </c>
      <c r="B3200" s="2" t="s">
        <v>1007</v>
      </c>
      <c r="C3200" s="5" t="s">
        <v>5313</v>
      </c>
      <c r="D3200" s="2" t="s">
        <v>5314</v>
      </c>
    </row>
    <row r="3201" spans="1:4" ht="12.95" customHeight="1" x14ac:dyDescent="0.25">
      <c r="A3201" s="2" t="s">
        <v>401</v>
      </c>
      <c r="B3201" s="2" t="s">
        <v>1007</v>
      </c>
      <c r="C3201" s="5" t="s">
        <v>5315</v>
      </c>
      <c r="D3201" s="2" t="s">
        <v>5316</v>
      </c>
    </row>
    <row r="3202" spans="1:4" ht="12.95" customHeight="1" x14ac:dyDescent="0.25">
      <c r="A3202" s="2" t="s">
        <v>401</v>
      </c>
      <c r="B3202" s="2" t="s">
        <v>1007</v>
      </c>
      <c r="C3202" s="5" t="s">
        <v>5317</v>
      </c>
      <c r="D3202" s="2" t="s">
        <v>5318</v>
      </c>
    </row>
    <row r="3203" spans="1:4" ht="12.95" customHeight="1" x14ac:dyDescent="0.25">
      <c r="A3203" s="2" t="s">
        <v>401</v>
      </c>
      <c r="B3203" s="2" t="s">
        <v>1007</v>
      </c>
      <c r="C3203" s="5" t="s">
        <v>5319</v>
      </c>
      <c r="D3203" s="2" t="s">
        <v>3314</v>
      </c>
    </row>
    <row r="3204" spans="1:4" ht="12.95" customHeight="1" x14ac:dyDescent="0.25">
      <c r="A3204" s="2" t="s">
        <v>401</v>
      </c>
      <c r="B3204" s="2" t="s">
        <v>1007</v>
      </c>
      <c r="C3204" s="5" t="s">
        <v>5320</v>
      </c>
      <c r="D3204" s="2" t="s">
        <v>5321</v>
      </c>
    </row>
    <row r="3205" spans="1:4" ht="12.95" customHeight="1" x14ac:dyDescent="0.25">
      <c r="A3205" s="2" t="s">
        <v>401</v>
      </c>
      <c r="B3205" s="2" t="s">
        <v>1007</v>
      </c>
      <c r="C3205" s="5" t="s">
        <v>5322</v>
      </c>
      <c r="D3205" s="2" t="s">
        <v>5323</v>
      </c>
    </row>
    <row r="3206" spans="1:4" ht="12.95" customHeight="1" x14ac:dyDescent="0.25">
      <c r="A3206" s="2" t="s">
        <v>401</v>
      </c>
      <c r="B3206" s="2" t="s">
        <v>1007</v>
      </c>
      <c r="C3206" s="5" t="s">
        <v>5324</v>
      </c>
      <c r="D3206" s="2" t="s">
        <v>5325</v>
      </c>
    </row>
    <row r="3207" spans="1:4" ht="12.95" customHeight="1" x14ac:dyDescent="0.25">
      <c r="A3207" s="2" t="s">
        <v>401</v>
      </c>
      <c r="B3207" s="2" t="s">
        <v>1007</v>
      </c>
      <c r="C3207" s="5" t="s">
        <v>5326</v>
      </c>
      <c r="D3207" s="2" t="s">
        <v>5327</v>
      </c>
    </row>
    <row r="3208" spans="1:4" ht="12.95" customHeight="1" x14ac:dyDescent="0.25">
      <c r="A3208" s="2" t="s">
        <v>401</v>
      </c>
      <c r="B3208" s="2" t="s">
        <v>1007</v>
      </c>
      <c r="C3208" s="5" t="s">
        <v>5328</v>
      </c>
      <c r="D3208" s="2" t="s">
        <v>5329</v>
      </c>
    </row>
    <row r="3209" spans="1:4" ht="12.95" customHeight="1" x14ac:dyDescent="0.25">
      <c r="A3209" s="2" t="s">
        <v>401</v>
      </c>
      <c r="B3209" s="2" t="s">
        <v>1007</v>
      </c>
      <c r="C3209" s="5" t="s">
        <v>5330</v>
      </c>
      <c r="D3209" s="2" t="s">
        <v>5331</v>
      </c>
    </row>
    <row r="3210" spans="1:4" ht="12.95" customHeight="1" x14ac:dyDescent="0.25">
      <c r="A3210" s="2" t="s">
        <v>401</v>
      </c>
      <c r="B3210" s="2" t="s">
        <v>1007</v>
      </c>
      <c r="C3210" s="5" t="s">
        <v>5332</v>
      </c>
      <c r="D3210" s="2" t="s">
        <v>5333</v>
      </c>
    </row>
    <row r="3211" spans="1:4" ht="12.95" customHeight="1" x14ac:dyDescent="0.25">
      <c r="A3211" s="2" t="s">
        <v>401</v>
      </c>
      <c r="B3211" s="2" t="s">
        <v>1007</v>
      </c>
      <c r="C3211" s="5" t="s">
        <v>5334</v>
      </c>
      <c r="D3211" s="2" t="s">
        <v>5335</v>
      </c>
    </row>
    <row r="3212" spans="1:4" ht="12.95" customHeight="1" x14ac:dyDescent="0.25">
      <c r="A3212" s="2" t="s">
        <v>401</v>
      </c>
      <c r="B3212" s="2" t="s">
        <v>1007</v>
      </c>
      <c r="C3212" s="5" t="s">
        <v>5336</v>
      </c>
      <c r="D3212" s="2" t="s">
        <v>5337</v>
      </c>
    </row>
    <row r="3213" spans="1:4" ht="12.95" customHeight="1" x14ac:dyDescent="0.25">
      <c r="A3213" s="2" t="s">
        <v>401</v>
      </c>
      <c r="B3213" s="2" t="s">
        <v>1007</v>
      </c>
      <c r="C3213" s="5" t="s">
        <v>5338</v>
      </c>
      <c r="D3213" s="2" t="s">
        <v>5339</v>
      </c>
    </row>
    <row r="3214" spans="1:4" ht="12.95" customHeight="1" x14ac:dyDescent="0.25">
      <c r="A3214" s="2" t="s">
        <v>401</v>
      </c>
      <c r="B3214" s="2" t="s">
        <v>1007</v>
      </c>
      <c r="C3214" s="5" t="s">
        <v>5340</v>
      </c>
      <c r="D3214" s="2" t="s">
        <v>5341</v>
      </c>
    </row>
    <row r="3215" spans="1:4" ht="12.95" customHeight="1" x14ac:dyDescent="0.25">
      <c r="A3215" s="2" t="s">
        <v>401</v>
      </c>
      <c r="B3215" s="2" t="s">
        <v>1007</v>
      </c>
      <c r="C3215" s="5" t="s">
        <v>5342</v>
      </c>
      <c r="D3215" s="2" t="s">
        <v>5343</v>
      </c>
    </row>
    <row r="3216" spans="1:4" ht="12.95" customHeight="1" x14ac:dyDescent="0.25">
      <c r="A3216" s="2" t="s">
        <v>401</v>
      </c>
      <c r="B3216" s="2" t="s">
        <v>1007</v>
      </c>
      <c r="C3216" s="5" t="s">
        <v>5344</v>
      </c>
      <c r="D3216" s="2" t="s">
        <v>5345</v>
      </c>
    </row>
    <row r="3217" spans="1:4" ht="12.95" customHeight="1" x14ac:dyDescent="0.25">
      <c r="A3217" s="2" t="s">
        <v>401</v>
      </c>
      <c r="B3217" s="2" t="s">
        <v>1007</v>
      </c>
      <c r="C3217" s="5" t="s">
        <v>5346</v>
      </c>
      <c r="D3217" s="2" t="s">
        <v>3392</v>
      </c>
    </row>
    <row r="3218" spans="1:4" ht="12.95" customHeight="1" x14ac:dyDescent="0.25">
      <c r="A3218" s="2" t="s">
        <v>401</v>
      </c>
      <c r="B3218" s="2" t="s">
        <v>1007</v>
      </c>
      <c r="C3218" s="5" t="s">
        <v>5347</v>
      </c>
      <c r="D3218" s="2" t="s">
        <v>3394</v>
      </c>
    </row>
    <row r="3219" spans="1:4" ht="12.95" customHeight="1" x14ac:dyDescent="0.25">
      <c r="A3219" s="2" t="s">
        <v>401</v>
      </c>
      <c r="B3219" s="2" t="s">
        <v>1007</v>
      </c>
      <c r="C3219" s="5" t="s">
        <v>5348</v>
      </c>
      <c r="D3219" s="2" t="s">
        <v>5349</v>
      </c>
    </row>
    <row r="3220" spans="1:4" ht="12.95" customHeight="1" x14ac:dyDescent="0.25">
      <c r="A3220" s="2" t="s">
        <v>401</v>
      </c>
      <c r="B3220" s="2" t="s">
        <v>1007</v>
      </c>
      <c r="C3220" s="5" t="s">
        <v>5350</v>
      </c>
      <c r="D3220" s="2" t="s">
        <v>5351</v>
      </c>
    </row>
    <row r="3221" spans="1:4" ht="12.95" customHeight="1" x14ac:dyDescent="0.25">
      <c r="A3221" s="2" t="s">
        <v>401</v>
      </c>
      <c r="B3221" s="2" t="s">
        <v>1007</v>
      </c>
      <c r="C3221" s="5" t="s">
        <v>5352</v>
      </c>
      <c r="D3221" s="2" t="s">
        <v>5353</v>
      </c>
    </row>
    <row r="3222" spans="1:4" ht="12.95" customHeight="1" x14ac:dyDescent="0.25">
      <c r="A3222" s="2" t="s">
        <v>401</v>
      </c>
      <c r="B3222" s="2" t="s">
        <v>1007</v>
      </c>
      <c r="C3222" s="5" t="s">
        <v>5354</v>
      </c>
      <c r="D3222" s="2" t="s">
        <v>5355</v>
      </c>
    </row>
    <row r="3223" spans="1:4" ht="12.95" customHeight="1" x14ac:dyDescent="0.25">
      <c r="A3223" s="2" t="s">
        <v>401</v>
      </c>
      <c r="B3223" s="2" t="s">
        <v>1007</v>
      </c>
      <c r="C3223" s="5" t="s">
        <v>5356</v>
      </c>
      <c r="D3223" s="2" t="s">
        <v>5357</v>
      </c>
    </row>
    <row r="3224" spans="1:4" ht="12.95" customHeight="1" x14ac:dyDescent="0.25">
      <c r="A3224" s="2" t="s">
        <v>401</v>
      </c>
      <c r="B3224" s="2" t="s">
        <v>1007</v>
      </c>
      <c r="C3224" s="5" t="s">
        <v>5358</v>
      </c>
      <c r="D3224" s="2" t="s">
        <v>4205</v>
      </c>
    </row>
    <row r="3225" spans="1:4" ht="12.95" customHeight="1" x14ac:dyDescent="0.25">
      <c r="A3225" s="2" t="s">
        <v>401</v>
      </c>
      <c r="B3225" s="2" t="s">
        <v>1007</v>
      </c>
      <c r="C3225" s="5" t="s">
        <v>5359</v>
      </c>
      <c r="D3225" s="2" t="s">
        <v>5360</v>
      </c>
    </row>
    <row r="3226" spans="1:4" ht="12.95" customHeight="1" x14ac:dyDescent="0.25">
      <c r="A3226" s="2" t="s">
        <v>401</v>
      </c>
      <c r="B3226" s="2" t="s">
        <v>1007</v>
      </c>
      <c r="C3226" s="5" t="s">
        <v>5361</v>
      </c>
      <c r="D3226" s="2" t="s">
        <v>5362</v>
      </c>
    </row>
    <row r="3227" spans="1:4" ht="12.95" customHeight="1" x14ac:dyDescent="0.25">
      <c r="A3227" s="2" t="s">
        <v>401</v>
      </c>
      <c r="B3227" s="2" t="s">
        <v>1007</v>
      </c>
      <c r="C3227" s="5" t="s">
        <v>5363</v>
      </c>
      <c r="D3227" s="2" t="s">
        <v>5364</v>
      </c>
    </row>
    <row r="3228" spans="1:4" ht="12.95" customHeight="1" x14ac:dyDescent="0.25">
      <c r="A3228" s="2" t="s">
        <v>401</v>
      </c>
      <c r="B3228" s="2" t="s">
        <v>1007</v>
      </c>
      <c r="C3228" s="5" t="s">
        <v>5365</v>
      </c>
      <c r="D3228" s="2" t="s">
        <v>3280</v>
      </c>
    </row>
    <row r="3229" spans="1:4" ht="12.95" customHeight="1" x14ac:dyDescent="0.25">
      <c r="A3229" s="2" t="s">
        <v>401</v>
      </c>
      <c r="B3229" s="2" t="s">
        <v>1007</v>
      </c>
      <c r="C3229" s="5" t="s">
        <v>5366</v>
      </c>
      <c r="D3229" s="2" t="s">
        <v>3282</v>
      </c>
    </row>
    <row r="3230" spans="1:4" ht="12.95" customHeight="1" x14ac:dyDescent="0.25">
      <c r="A3230" s="2" t="s">
        <v>401</v>
      </c>
      <c r="B3230" s="2" t="s">
        <v>1007</v>
      </c>
      <c r="C3230" s="5" t="s">
        <v>5367</v>
      </c>
      <c r="D3230" s="2" t="s">
        <v>5368</v>
      </c>
    </row>
    <row r="3231" spans="1:4" ht="12.95" customHeight="1" x14ac:dyDescent="0.25">
      <c r="A3231" s="2" t="s">
        <v>401</v>
      </c>
      <c r="B3231" s="2" t="s">
        <v>1007</v>
      </c>
      <c r="C3231" s="5" t="s">
        <v>5369</v>
      </c>
      <c r="D3231" s="2" t="s">
        <v>5370</v>
      </c>
    </row>
    <row r="3232" spans="1:4" ht="12.95" customHeight="1" x14ac:dyDescent="0.25">
      <c r="A3232" s="2" t="s">
        <v>401</v>
      </c>
      <c r="B3232" s="2" t="s">
        <v>1007</v>
      </c>
      <c r="C3232" s="5" t="s">
        <v>5371</v>
      </c>
      <c r="D3232" s="2" t="s">
        <v>5372</v>
      </c>
    </row>
    <row r="3233" spans="1:4" ht="12.95" customHeight="1" x14ac:dyDescent="0.25">
      <c r="A3233" s="2" t="s">
        <v>401</v>
      </c>
      <c r="B3233" s="2" t="s">
        <v>1007</v>
      </c>
      <c r="C3233" s="5" t="s">
        <v>5373</v>
      </c>
      <c r="D3233" s="2" t="s">
        <v>5374</v>
      </c>
    </row>
    <row r="3234" spans="1:4" ht="12.95" customHeight="1" x14ac:dyDescent="0.25">
      <c r="A3234" s="2" t="s">
        <v>401</v>
      </c>
      <c r="B3234" s="2" t="s">
        <v>1007</v>
      </c>
      <c r="C3234" s="5" t="s">
        <v>5375</v>
      </c>
      <c r="D3234" s="2" t="s">
        <v>5376</v>
      </c>
    </row>
    <row r="3235" spans="1:4" ht="12.95" customHeight="1" x14ac:dyDescent="0.25">
      <c r="A3235" s="2" t="s">
        <v>401</v>
      </c>
      <c r="B3235" s="2" t="s">
        <v>1007</v>
      </c>
      <c r="C3235" s="5" t="s">
        <v>5377</v>
      </c>
      <c r="D3235" s="2" t="s">
        <v>5378</v>
      </c>
    </row>
    <row r="3236" spans="1:4" ht="12.95" customHeight="1" x14ac:dyDescent="0.25">
      <c r="A3236" s="2" t="s">
        <v>401</v>
      </c>
      <c r="B3236" s="2" t="s">
        <v>1007</v>
      </c>
      <c r="C3236" s="5" t="s">
        <v>5379</v>
      </c>
      <c r="D3236" s="2" t="s">
        <v>5380</v>
      </c>
    </row>
    <row r="3237" spans="1:4" ht="12.95" customHeight="1" x14ac:dyDescent="0.25">
      <c r="A3237" s="2" t="s">
        <v>401</v>
      </c>
      <c r="B3237" s="2" t="s">
        <v>1007</v>
      </c>
      <c r="C3237" s="5" t="s">
        <v>5381</v>
      </c>
      <c r="D3237" s="2" t="s">
        <v>5382</v>
      </c>
    </row>
    <row r="3238" spans="1:4" ht="12.95" customHeight="1" x14ac:dyDescent="0.25">
      <c r="A3238" s="2" t="s">
        <v>401</v>
      </c>
      <c r="B3238" s="2" t="s">
        <v>1007</v>
      </c>
      <c r="C3238" s="5" t="s">
        <v>5383</v>
      </c>
      <c r="D3238" s="2" t="s">
        <v>5384</v>
      </c>
    </row>
    <row r="3239" spans="1:4" ht="12.95" customHeight="1" x14ac:dyDescent="0.25">
      <c r="A3239" s="2" t="s">
        <v>401</v>
      </c>
      <c r="B3239" s="2" t="s">
        <v>1007</v>
      </c>
      <c r="C3239" s="5" t="s">
        <v>5385</v>
      </c>
      <c r="D3239" s="2" t="s">
        <v>5386</v>
      </c>
    </row>
    <row r="3240" spans="1:4" ht="12.95" customHeight="1" x14ac:dyDescent="0.25">
      <c r="A3240" s="2" t="s">
        <v>401</v>
      </c>
      <c r="B3240" s="2" t="s">
        <v>1007</v>
      </c>
      <c r="C3240" s="5" t="s">
        <v>5387</v>
      </c>
      <c r="D3240" s="2" t="s">
        <v>5388</v>
      </c>
    </row>
    <row r="3241" spans="1:4" ht="12.95" customHeight="1" x14ac:dyDescent="0.25">
      <c r="A3241" s="2" t="s">
        <v>401</v>
      </c>
      <c r="B3241" s="2" t="s">
        <v>1007</v>
      </c>
      <c r="C3241" s="5" t="s">
        <v>5389</v>
      </c>
      <c r="D3241" s="2" t="s">
        <v>5390</v>
      </c>
    </row>
    <row r="3242" spans="1:4" ht="12.95" customHeight="1" x14ac:dyDescent="0.25">
      <c r="A3242" s="2" t="s">
        <v>401</v>
      </c>
      <c r="B3242" s="2" t="s">
        <v>1007</v>
      </c>
      <c r="C3242" s="5" t="s">
        <v>5391</v>
      </c>
      <c r="D3242" s="2" t="s">
        <v>5392</v>
      </c>
    </row>
    <row r="3243" spans="1:4" ht="12.95" customHeight="1" x14ac:dyDescent="0.25">
      <c r="A3243" s="2" t="s">
        <v>401</v>
      </c>
      <c r="B3243" s="2" t="s">
        <v>1007</v>
      </c>
      <c r="C3243" s="5" t="s">
        <v>5393</v>
      </c>
      <c r="D3243" s="2" t="s">
        <v>5394</v>
      </c>
    </row>
    <row r="3244" spans="1:4" ht="12.95" customHeight="1" x14ac:dyDescent="0.25">
      <c r="A3244" s="2" t="s">
        <v>401</v>
      </c>
      <c r="B3244" s="2" t="s">
        <v>1007</v>
      </c>
      <c r="C3244" s="5" t="s">
        <v>5395</v>
      </c>
      <c r="D3244" s="2" t="s">
        <v>5396</v>
      </c>
    </row>
    <row r="3245" spans="1:4" ht="12.95" customHeight="1" x14ac:dyDescent="0.25">
      <c r="A3245" s="2" t="s">
        <v>401</v>
      </c>
      <c r="B3245" s="2" t="s">
        <v>1007</v>
      </c>
      <c r="C3245" s="5" t="s">
        <v>5397</v>
      </c>
      <c r="D3245" s="2" t="s">
        <v>5398</v>
      </c>
    </row>
    <row r="3246" spans="1:4" ht="12.95" customHeight="1" x14ac:dyDescent="0.25">
      <c r="A3246" s="2" t="s">
        <v>401</v>
      </c>
      <c r="B3246" s="2" t="s">
        <v>1007</v>
      </c>
      <c r="C3246" s="5" t="s">
        <v>5399</v>
      </c>
      <c r="D3246" s="2" t="s">
        <v>3392</v>
      </c>
    </row>
    <row r="3247" spans="1:4" ht="12.95" customHeight="1" x14ac:dyDescent="0.25">
      <c r="A3247" s="2" t="s">
        <v>401</v>
      </c>
      <c r="B3247" s="2" t="s">
        <v>1007</v>
      </c>
      <c r="C3247" s="5" t="s">
        <v>5400</v>
      </c>
      <c r="D3247" s="2" t="s">
        <v>3394</v>
      </c>
    </row>
    <row r="3248" spans="1:4" ht="12.95" customHeight="1" x14ac:dyDescent="0.25">
      <c r="A3248" s="2" t="s">
        <v>401</v>
      </c>
      <c r="B3248" s="2" t="s">
        <v>1007</v>
      </c>
      <c r="C3248" s="5" t="s">
        <v>5401</v>
      </c>
      <c r="D3248" s="2" t="s">
        <v>5402</v>
      </c>
    </row>
    <row r="3249" spans="1:4" ht="12.95" customHeight="1" x14ac:dyDescent="0.25">
      <c r="A3249" s="2" t="s">
        <v>401</v>
      </c>
      <c r="B3249" s="2" t="s">
        <v>1007</v>
      </c>
      <c r="C3249" s="5" t="s">
        <v>5403</v>
      </c>
      <c r="D3249" s="2" t="s">
        <v>5404</v>
      </c>
    </row>
    <row r="3250" spans="1:4" ht="12.95" customHeight="1" x14ac:dyDescent="0.25">
      <c r="A3250" s="2" t="s">
        <v>401</v>
      </c>
      <c r="B3250" s="2" t="s">
        <v>1007</v>
      </c>
      <c r="C3250" s="5" t="s">
        <v>5405</v>
      </c>
      <c r="D3250" s="2" t="s">
        <v>5406</v>
      </c>
    </row>
    <row r="3251" spans="1:4" ht="12.95" customHeight="1" x14ac:dyDescent="0.25">
      <c r="A3251" s="2" t="s">
        <v>401</v>
      </c>
      <c r="B3251" s="2" t="s">
        <v>1007</v>
      </c>
      <c r="C3251" s="5" t="s">
        <v>5407</v>
      </c>
      <c r="D3251" s="2" t="s">
        <v>5408</v>
      </c>
    </row>
    <row r="3252" spans="1:4" ht="12.95" customHeight="1" x14ac:dyDescent="0.25">
      <c r="A3252" s="2" t="s">
        <v>401</v>
      </c>
      <c r="B3252" s="2" t="s">
        <v>1007</v>
      </c>
      <c r="C3252" s="5" t="s">
        <v>5409</v>
      </c>
      <c r="D3252" s="2" t="s">
        <v>5410</v>
      </c>
    </row>
    <row r="3253" spans="1:4" ht="12.95" customHeight="1" x14ac:dyDescent="0.25">
      <c r="A3253" s="2" t="s">
        <v>401</v>
      </c>
      <c r="B3253" s="2" t="s">
        <v>1007</v>
      </c>
      <c r="C3253" s="5" t="s">
        <v>5411</v>
      </c>
      <c r="D3253" s="2" t="s">
        <v>5412</v>
      </c>
    </row>
    <row r="3254" spans="1:4" ht="12.95" customHeight="1" x14ac:dyDescent="0.25">
      <c r="A3254" s="2" t="s">
        <v>401</v>
      </c>
      <c r="B3254" s="2" t="s">
        <v>1007</v>
      </c>
      <c r="C3254" s="5" t="s">
        <v>5413</v>
      </c>
      <c r="D3254" s="2" t="s">
        <v>3314</v>
      </c>
    </row>
    <row r="3255" spans="1:4" ht="12.95" customHeight="1" x14ac:dyDescent="0.25">
      <c r="A3255" s="2" t="s">
        <v>401</v>
      </c>
      <c r="B3255" s="2" t="s">
        <v>1007</v>
      </c>
      <c r="C3255" s="5" t="s">
        <v>5414</v>
      </c>
      <c r="D3255" s="2" t="s">
        <v>5415</v>
      </c>
    </row>
    <row r="3256" spans="1:4" ht="12.95" customHeight="1" x14ac:dyDescent="0.25">
      <c r="A3256" s="2" t="s">
        <v>401</v>
      </c>
      <c r="B3256" s="2" t="s">
        <v>1007</v>
      </c>
      <c r="C3256" s="5" t="s">
        <v>5416</v>
      </c>
      <c r="D3256" s="2" t="s">
        <v>5417</v>
      </c>
    </row>
    <row r="3257" spans="1:4" ht="12.95" customHeight="1" x14ac:dyDescent="0.25">
      <c r="A3257" s="2" t="s">
        <v>401</v>
      </c>
      <c r="B3257" s="2" t="s">
        <v>1007</v>
      </c>
      <c r="C3257" s="5" t="s">
        <v>5418</v>
      </c>
      <c r="D3257" s="2" t="s">
        <v>5419</v>
      </c>
    </row>
    <row r="3258" spans="1:4" ht="12.95" customHeight="1" x14ac:dyDescent="0.25">
      <c r="A3258" s="2" t="s">
        <v>401</v>
      </c>
      <c r="B3258" s="2" t="s">
        <v>1007</v>
      </c>
      <c r="C3258" s="5" t="s">
        <v>5420</v>
      </c>
      <c r="D3258" s="2" t="s">
        <v>5421</v>
      </c>
    </row>
    <row r="3259" spans="1:4" ht="12.95" customHeight="1" x14ac:dyDescent="0.25">
      <c r="A3259" s="2" t="s">
        <v>401</v>
      </c>
      <c r="B3259" s="2" t="s">
        <v>1007</v>
      </c>
      <c r="C3259" s="5" t="s">
        <v>5422</v>
      </c>
      <c r="D3259" s="2" t="s">
        <v>5423</v>
      </c>
    </row>
    <row r="3260" spans="1:4" ht="12.95" customHeight="1" x14ac:dyDescent="0.25">
      <c r="A3260" s="2" t="s">
        <v>401</v>
      </c>
      <c r="B3260" s="2" t="s">
        <v>1007</v>
      </c>
      <c r="C3260" s="5" t="s">
        <v>5424</v>
      </c>
      <c r="D3260" s="2" t="s">
        <v>5425</v>
      </c>
    </row>
    <row r="3261" spans="1:4" ht="12.95" customHeight="1" x14ac:dyDescent="0.25">
      <c r="A3261" s="2" t="s">
        <v>401</v>
      </c>
      <c r="B3261" s="2" t="s">
        <v>1007</v>
      </c>
      <c r="C3261" s="5" t="s">
        <v>5426</v>
      </c>
      <c r="D3261" s="2" t="s">
        <v>5427</v>
      </c>
    </row>
    <row r="3262" spans="1:4" ht="12.95" customHeight="1" x14ac:dyDescent="0.25">
      <c r="A3262" s="2" t="s">
        <v>401</v>
      </c>
      <c r="B3262" s="2" t="s">
        <v>1007</v>
      </c>
      <c r="C3262" s="5" t="s">
        <v>5428</v>
      </c>
      <c r="D3262" s="2" t="s">
        <v>5429</v>
      </c>
    </row>
    <row r="3263" spans="1:4" ht="12.95" customHeight="1" x14ac:dyDescent="0.25">
      <c r="A3263" s="2" t="s">
        <v>401</v>
      </c>
      <c r="B3263" s="2" t="s">
        <v>1007</v>
      </c>
      <c r="C3263" s="5" t="s">
        <v>5430</v>
      </c>
      <c r="D3263" s="2" t="s">
        <v>5431</v>
      </c>
    </row>
    <row r="3264" spans="1:4" ht="12.95" customHeight="1" x14ac:dyDescent="0.25">
      <c r="A3264" s="2" t="s">
        <v>401</v>
      </c>
      <c r="B3264" s="2" t="s">
        <v>1007</v>
      </c>
      <c r="C3264" s="5" t="s">
        <v>5432</v>
      </c>
      <c r="D3264" s="2" t="s">
        <v>5433</v>
      </c>
    </row>
    <row r="3265" spans="1:4" ht="12.95" customHeight="1" x14ac:dyDescent="0.25">
      <c r="A3265" s="2" t="s">
        <v>401</v>
      </c>
      <c r="B3265" s="2" t="s">
        <v>1007</v>
      </c>
      <c r="C3265" s="5" t="s">
        <v>5434</v>
      </c>
      <c r="D3265" s="2" t="s">
        <v>5435</v>
      </c>
    </row>
    <row r="3266" spans="1:4" ht="12.95" customHeight="1" x14ac:dyDescent="0.25">
      <c r="A3266" s="2" t="s">
        <v>401</v>
      </c>
      <c r="B3266" s="2" t="s">
        <v>1007</v>
      </c>
      <c r="C3266" s="5" t="s">
        <v>5436</v>
      </c>
      <c r="D3266" s="2" t="s">
        <v>3392</v>
      </c>
    </row>
    <row r="3267" spans="1:4" ht="12.95" customHeight="1" x14ac:dyDescent="0.25">
      <c r="A3267" s="2" t="s">
        <v>401</v>
      </c>
      <c r="B3267" s="2" t="s">
        <v>1007</v>
      </c>
      <c r="C3267" s="5" t="s">
        <v>5437</v>
      </c>
      <c r="D3267" s="2" t="s">
        <v>3394</v>
      </c>
    </row>
    <row r="3268" spans="1:4" ht="12.95" customHeight="1" x14ac:dyDescent="0.25">
      <c r="A3268" s="2" t="s">
        <v>401</v>
      </c>
      <c r="B3268" s="2" t="s">
        <v>1007</v>
      </c>
      <c r="C3268" s="5" t="s">
        <v>5438</v>
      </c>
      <c r="D3268" s="2" t="s">
        <v>5439</v>
      </c>
    </row>
    <row r="3269" spans="1:4" ht="12.95" customHeight="1" x14ac:dyDescent="0.25">
      <c r="A3269" s="2" t="s">
        <v>401</v>
      </c>
      <c r="B3269" s="2" t="s">
        <v>1007</v>
      </c>
      <c r="C3269" s="5" t="s">
        <v>5440</v>
      </c>
      <c r="D3269" s="2" t="s">
        <v>5441</v>
      </c>
    </row>
    <row r="3270" spans="1:4" ht="12.95" customHeight="1" x14ac:dyDescent="0.25">
      <c r="A3270" s="2" t="s">
        <v>401</v>
      </c>
      <c r="B3270" s="2" t="s">
        <v>1007</v>
      </c>
      <c r="C3270" s="5" t="s">
        <v>5442</v>
      </c>
      <c r="D3270" s="2" t="s">
        <v>5443</v>
      </c>
    </row>
    <row r="3271" spans="1:4" ht="12.95" customHeight="1" x14ac:dyDescent="0.25">
      <c r="A3271" s="2" t="s">
        <v>401</v>
      </c>
      <c r="B3271" s="2" t="s">
        <v>1007</v>
      </c>
      <c r="C3271" s="5" t="s">
        <v>5444</v>
      </c>
      <c r="D3271" s="2" t="s">
        <v>5445</v>
      </c>
    </row>
    <row r="3272" spans="1:4" ht="12.95" customHeight="1" x14ac:dyDescent="0.25">
      <c r="A3272" s="2" t="s">
        <v>401</v>
      </c>
      <c r="B3272" s="2" t="s">
        <v>1007</v>
      </c>
      <c r="C3272" s="5" t="s">
        <v>5446</v>
      </c>
      <c r="D3272" s="2" t="s">
        <v>5447</v>
      </c>
    </row>
    <row r="3273" spans="1:4" ht="12.95" customHeight="1" x14ac:dyDescent="0.25">
      <c r="A3273" s="2" t="s">
        <v>401</v>
      </c>
      <c r="B3273" s="2" t="s">
        <v>1007</v>
      </c>
      <c r="C3273" s="5" t="s">
        <v>5448</v>
      </c>
      <c r="D3273" s="2" t="s">
        <v>5449</v>
      </c>
    </row>
    <row r="3274" spans="1:4" ht="12.95" customHeight="1" x14ac:dyDescent="0.25">
      <c r="A3274" s="2" t="s">
        <v>401</v>
      </c>
      <c r="B3274" s="2" t="s">
        <v>1007</v>
      </c>
      <c r="C3274" s="5" t="s">
        <v>5450</v>
      </c>
      <c r="D3274" s="2" t="s">
        <v>3314</v>
      </c>
    </row>
    <row r="3275" spans="1:4" ht="12.95" customHeight="1" x14ac:dyDescent="0.25">
      <c r="A3275" s="2" t="s">
        <v>401</v>
      </c>
      <c r="B3275" s="2" t="s">
        <v>1007</v>
      </c>
      <c r="C3275" s="5" t="s">
        <v>5451</v>
      </c>
      <c r="D3275" s="2" t="s">
        <v>5452</v>
      </c>
    </row>
    <row r="3276" spans="1:4" ht="12.95" customHeight="1" x14ac:dyDescent="0.25">
      <c r="A3276" s="2" t="s">
        <v>401</v>
      </c>
      <c r="B3276" s="2" t="s">
        <v>1007</v>
      </c>
      <c r="C3276" s="5" t="s">
        <v>5453</v>
      </c>
      <c r="D3276" s="2" t="s">
        <v>5454</v>
      </c>
    </row>
    <row r="3277" spans="1:4" ht="12.95" customHeight="1" x14ac:dyDescent="0.25">
      <c r="A3277" s="2" t="s">
        <v>401</v>
      </c>
      <c r="B3277" s="2" t="s">
        <v>1007</v>
      </c>
      <c r="C3277" s="5" t="s">
        <v>5455</v>
      </c>
      <c r="D3277" s="2" t="s">
        <v>5456</v>
      </c>
    </row>
    <row r="3278" spans="1:4" ht="12.95" customHeight="1" x14ac:dyDescent="0.25">
      <c r="A3278" s="2" t="s">
        <v>401</v>
      </c>
      <c r="B3278" s="2" t="s">
        <v>1007</v>
      </c>
      <c r="C3278" s="5" t="s">
        <v>5457</v>
      </c>
      <c r="D3278" s="2" t="s">
        <v>5458</v>
      </c>
    </row>
    <row r="3279" spans="1:4" ht="12.95" customHeight="1" x14ac:dyDescent="0.25">
      <c r="A3279" s="2" t="s">
        <v>401</v>
      </c>
      <c r="B3279" s="2" t="s">
        <v>1007</v>
      </c>
      <c r="C3279" s="5" t="s">
        <v>5459</v>
      </c>
      <c r="D3279" s="2" t="s">
        <v>5460</v>
      </c>
    </row>
    <row r="3280" spans="1:4" ht="12.95" customHeight="1" x14ac:dyDescent="0.25">
      <c r="A3280" s="2" t="s">
        <v>401</v>
      </c>
      <c r="B3280" s="2" t="s">
        <v>1007</v>
      </c>
      <c r="C3280" s="5" t="s">
        <v>5461</v>
      </c>
      <c r="D3280" s="2" t="s">
        <v>3280</v>
      </c>
    </row>
    <row r="3281" spans="1:4" ht="12.95" customHeight="1" x14ac:dyDescent="0.25">
      <c r="A3281" s="2" t="s">
        <v>401</v>
      </c>
      <c r="B3281" s="2" t="s">
        <v>1007</v>
      </c>
      <c r="C3281" s="5" t="s">
        <v>5462</v>
      </c>
      <c r="D3281" s="2" t="s">
        <v>3282</v>
      </c>
    </row>
    <row r="3282" spans="1:4" ht="12.95" customHeight="1" x14ac:dyDescent="0.25">
      <c r="A3282" s="2" t="s">
        <v>401</v>
      </c>
      <c r="B3282" s="2" t="s">
        <v>1007</v>
      </c>
      <c r="C3282" s="5" t="s">
        <v>5463</v>
      </c>
      <c r="D3282" s="2" t="s">
        <v>5464</v>
      </c>
    </row>
    <row r="3283" spans="1:4" ht="12.95" customHeight="1" x14ac:dyDescent="0.25">
      <c r="A3283" s="2" t="s">
        <v>401</v>
      </c>
      <c r="B3283" s="2" t="s">
        <v>1007</v>
      </c>
      <c r="C3283" s="5" t="s">
        <v>5465</v>
      </c>
      <c r="D3283" s="2" t="s">
        <v>5466</v>
      </c>
    </row>
    <row r="3284" spans="1:4" ht="12.95" customHeight="1" x14ac:dyDescent="0.25">
      <c r="A3284" s="2" t="s">
        <v>401</v>
      </c>
      <c r="B3284" s="2" t="s">
        <v>1007</v>
      </c>
      <c r="C3284" s="5" t="s">
        <v>5467</v>
      </c>
      <c r="D3284" s="2" t="s">
        <v>5468</v>
      </c>
    </row>
    <row r="3285" spans="1:4" ht="12.95" customHeight="1" x14ac:dyDescent="0.25">
      <c r="A3285" s="2" t="s">
        <v>401</v>
      </c>
      <c r="B3285" s="2" t="s">
        <v>1007</v>
      </c>
      <c r="C3285" s="5" t="s">
        <v>5469</v>
      </c>
      <c r="D3285" s="2" t="s">
        <v>5470</v>
      </c>
    </row>
    <row r="3286" spans="1:4" ht="12.95" customHeight="1" x14ac:dyDescent="0.25">
      <c r="A3286" s="2" t="s">
        <v>401</v>
      </c>
      <c r="B3286" s="2" t="s">
        <v>1007</v>
      </c>
      <c r="C3286" s="5" t="s">
        <v>5471</v>
      </c>
      <c r="D3286" s="2" t="s">
        <v>5472</v>
      </c>
    </row>
    <row r="3287" spans="1:4" ht="12.95" customHeight="1" x14ac:dyDescent="0.25">
      <c r="A3287" s="2" t="s">
        <v>401</v>
      </c>
      <c r="B3287" s="2" t="s">
        <v>1007</v>
      </c>
      <c r="C3287" s="5" t="s">
        <v>5473</v>
      </c>
      <c r="D3287" s="2" t="s">
        <v>5474</v>
      </c>
    </row>
    <row r="3288" spans="1:4" ht="12.95" customHeight="1" x14ac:dyDescent="0.25">
      <c r="A3288" s="2" t="s">
        <v>401</v>
      </c>
      <c r="B3288" s="2" t="s">
        <v>1007</v>
      </c>
      <c r="C3288" s="5" t="s">
        <v>5475</v>
      </c>
      <c r="D3288" s="2" t="s">
        <v>5476</v>
      </c>
    </row>
    <row r="3289" spans="1:4" ht="12.95" customHeight="1" x14ac:dyDescent="0.25">
      <c r="A3289" s="2" t="s">
        <v>401</v>
      </c>
      <c r="B3289" s="2" t="s">
        <v>1007</v>
      </c>
      <c r="C3289" s="5" t="s">
        <v>5477</v>
      </c>
      <c r="D3289" s="2" t="s">
        <v>5478</v>
      </c>
    </row>
    <row r="3290" spans="1:4" ht="12.95" customHeight="1" x14ac:dyDescent="0.25">
      <c r="A3290" s="2" t="s">
        <v>401</v>
      </c>
      <c r="B3290" s="2" t="s">
        <v>1007</v>
      </c>
      <c r="C3290" s="5" t="s">
        <v>5479</v>
      </c>
      <c r="D3290" s="2" t="s">
        <v>5480</v>
      </c>
    </row>
    <row r="3291" spans="1:4" ht="12.95" customHeight="1" x14ac:dyDescent="0.25">
      <c r="A3291" s="2" t="s">
        <v>401</v>
      </c>
      <c r="B3291" s="2" t="s">
        <v>1007</v>
      </c>
      <c r="C3291" s="5" t="s">
        <v>5481</v>
      </c>
      <c r="D3291" s="2" t="s">
        <v>5261</v>
      </c>
    </row>
    <row r="3292" spans="1:4" ht="12.95" customHeight="1" x14ac:dyDescent="0.25">
      <c r="A3292" s="2" t="s">
        <v>401</v>
      </c>
      <c r="B3292" s="2" t="s">
        <v>1007</v>
      </c>
      <c r="C3292" s="5" t="s">
        <v>5482</v>
      </c>
      <c r="D3292" s="2" t="s">
        <v>3314</v>
      </c>
    </row>
    <row r="3293" spans="1:4" ht="12.95" customHeight="1" x14ac:dyDescent="0.25">
      <c r="A3293" s="2" t="s">
        <v>401</v>
      </c>
      <c r="B3293" s="2" t="s">
        <v>1007</v>
      </c>
      <c r="C3293" s="5" t="s">
        <v>5483</v>
      </c>
      <c r="D3293" s="2" t="s">
        <v>5484</v>
      </c>
    </row>
    <row r="3294" spans="1:4" ht="12.95" customHeight="1" x14ac:dyDescent="0.25">
      <c r="A3294" s="2" t="s">
        <v>401</v>
      </c>
      <c r="B3294" s="2" t="s">
        <v>1007</v>
      </c>
      <c r="C3294" s="5" t="s">
        <v>5485</v>
      </c>
      <c r="D3294" s="2" t="s">
        <v>5486</v>
      </c>
    </row>
    <row r="3295" spans="1:4" ht="12.95" customHeight="1" x14ac:dyDescent="0.25">
      <c r="A3295" s="2" t="s">
        <v>401</v>
      </c>
      <c r="B3295" s="2" t="s">
        <v>1007</v>
      </c>
      <c r="C3295" s="5" t="s">
        <v>5487</v>
      </c>
      <c r="D3295" s="2" t="s">
        <v>5488</v>
      </c>
    </row>
    <row r="3296" spans="1:4" ht="12.95" customHeight="1" x14ac:dyDescent="0.25">
      <c r="A3296" s="2" t="s">
        <v>401</v>
      </c>
      <c r="B3296" s="2" t="s">
        <v>1007</v>
      </c>
      <c r="C3296" s="5" t="s">
        <v>5489</v>
      </c>
      <c r="D3296" s="2" t="s">
        <v>5490</v>
      </c>
    </row>
    <row r="3297" spans="1:4" ht="12.95" customHeight="1" x14ac:dyDescent="0.25">
      <c r="A3297" s="2" t="s">
        <v>401</v>
      </c>
      <c r="B3297" s="2" t="s">
        <v>1007</v>
      </c>
      <c r="C3297" s="5" t="s">
        <v>5491</v>
      </c>
      <c r="D3297" s="2" t="s">
        <v>5492</v>
      </c>
    </row>
    <row r="3298" spans="1:4" ht="12.95" customHeight="1" x14ac:dyDescent="0.25">
      <c r="A3298" s="2" t="s">
        <v>401</v>
      </c>
      <c r="B3298" s="2" t="s">
        <v>1007</v>
      </c>
      <c r="C3298" s="5" t="s">
        <v>5493</v>
      </c>
      <c r="D3298" s="2" t="s">
        <v>5494</v>
      </c>
    </row>
    <row r="3299" spans="1:4" ht="12.95" customHeight="1" x14ac:dyDescent="0.25">
      <c r="A3299" s="2" t="s">
        <v>401</v>
      </c>
      <c r="B3299" s="2" t="s">
        <v>1007</v>
      </c>
      <c r="C3299" s="5" t="s">
        <v>5495</v>
      </c>
      <c r="D3299" s="2" t="s">
        <v>5496</v>
      </c>
    </row>
    <row r="3300" spans="1:4" ht="12.95" customHeight="1" x14ac:dyDescent="0.25">
      <c r="A3300" s="2" t="s">
        <v>401</v>
      </c>
      <c r="B3300" s="2" t="s">
        <v>1007</v>
      </c>
      <c r="C3300" s="5" t="s">
        <v>5497</v>
      </c>
      <c r="D3300" s="2" t="s">
        <v>5498</v>
      </c>
    </row>
    <row r="3301" spans="1:4" ht="12.95" customHeight="1" x14ac:dyDescent="0.25">
      <c r="A3301" s="2" t="s">
        <v>401</v>
      </c>
      <c r="B3301" s="2" t="s">
        <v>1007</v>
      </c>
      <c r="C3301" s="5" t="s">
        <v>5499</v>
      </c>
      <c r="D3301" s="2" t="s">
        <v>5500</v>
      </c>
    </row>
    <row r="3302" spans="1:4" ht="12.95" customHeight="1" x14ac:dyDescent="0.25">
      <c r="A3302" s="2" t="s">
        <v>401</v>
      </c>
      <c r="B3302" s="2" t="s">
        <v>1007</v>
      </c>
      <c r="C3302" s="5" t="s">
        <v>5501</v>
      </c>
      <c r="D3302" s="2" t="s">
        <v>5502</v>
      </c>
    </row>
    <row r="3303" spans="1:4" ht="12.95" customHeight="1" x14ac:dyDescent="0.25">
      <c r="A3303" s="2" t="s">
        <v>401</v>
      </c>
      <c r="B3303" s="2" t="s">
        <v>1007</v>
      </c>
      <c r="C3303" s="5" t="s">
        <v>5503</v>
      </c>
      <c r="D3303" s="2" t="s">
        <v>3392</v>
      </c>
    </row>
    <row r="3304" spans="1:4" ht="12.95" customHeight="1" x14ac:dyDescent="0.25">
      <c r="A3304" s="2" t="s">
        <v>401</v>
      </c>
      <c r="B3304" s="2" t="s">
        <v>1007</v>
      </c>
      <c r="C3304" s="5" t="s">
        <v>5504</v>
      </c>
      <c r="D3304" s="2" t="s">
        <v>3394</v>
      </c>
    </row>
    <row r="3305" spans="1:4" ht="12.95" customHeight="1" x14ac:dyDescent="0.25">
      <c r="A3305" s="2" t="s">
        <v>401</v>
      </c>
      <c r="B3305" s="2" t="s">
        <v>1007</v>
      </c>
      <c r="C3305" s="5" t="s">
        <v>5505</v>
      </c>
      <c r="D3305" s="2" t="s">
        <v>5506</v>
      </c>
    </row>
    <row r="3306" spans="1:4" ht="12.95" customHeight="1" x14ac:dyDescent="0.25">
      <c r="A3306" s="2" t="s">
        <v>401</v>
      </c>
      <c r="B3306" s="2" t="s">
        <v>1007</v>
      </c>
      <c r="C3306" s="5" t="s">
        <v>5507</v>
      </c>
      <c r="D3306" s="2" t="s">
        <v>5508</v>
      </c>
    </row>
    <row r="3307" spans="1:4" ht="12.95" customHeight="1" x14ac:dyDescent="0.25">
      <c r="A3307" s="2" t="s">
        <v>401</v>
      </c>
      <c r="B3307" s="2" t="s">
        <v>1007</v>
      </c>
      <c r="C3307" s="5" t="s">
        <v>5509</v>
      </c>
      <c r="D3307" s="2" t="s">
        <v>5510</v>
      </c>
    </row>
    <row r="3308" spans="1:4" ht="12.95" customHeight="1" x14ac:dyDescent="0.25">
      <c r="A3308" s="2" t="s">
        <v>401</v>
      </c>
      <c r="B3308" s="2" t="s">
        <v>1007</v>
      </c>
      <c r="C3308" s="5" t="s">
        <v>5511</v>
      </c>
      <c r="D3308" s="2" t="s">
        <v>5512</v>
      </c>
    </row>
    <row r="3309" spans="1:4" ht="12.95" customHeight="1" x14ac:dyDescent="0.25">
      <c r="A3309" s="2" t="s">
        <v>401</v>
      </c>
      <c r="B3309" s="2" t="s">
        <v>1007</v>
      </c>
      <c r="C3309" s="5" t="s">
        <v>5513</v>
      </c>
      <c r="D3309" s="2" t="s">
        <v>3312</v>
      </c>
    </row>
    <row r="3310" spans="1:4" ht="12.95" customHeight="1" x14ac:dyDescent="0.25">
      <c r="A3310" s="2" t="s">
        <v>401</v>
      </c>
      <c r="B3310" s="2" t="s">
        <v>1007</v>
      </c>
      <c r="C3310" s="5" t="s">
        <v>5514</v>
      </c>
      <c r="D3310" s="2" t="s">
        <v>3314</v>
      </c>
    </row>
    <row r="3311" spans="1:4" ht="12.95" customHeight="1" x14ac:dyDescent="0.25">
      <c r="A3311" s="2" t="s">
        <v>401</v>
      </c>
      <c r="B3311" s="2" t="s">
        <v>1007</v>
      </c>
      <c r="C3311" s="5" t="s">
        <v>5515</v>
      </c>
      <c r="D3311" s="2" t="s">
        <v>5516</v>
      </c>
    </row>
    <row r="3312" spans="1:4" ht="12.95" customHeight="1" x14ac:dyDescent="0.25">
      <c r="A3312" s="2" t="s">
        <v>401</v>
      </c>
      <c r="B3312" s="2" t="s">
        <v>1007</v>
      </c>
      <c r="C3312" s="5" t="s">
        <v>5517</v>
      </c>
      <c r="D3312" s="2" t="s">
        <v>5518</v>
      </c>
    </row>
    <row r="3313" spans="1:4" ht="12.95" customHeight="1" x14ac:dyDescent="0.25">
      <c r="A3313" s="2" t="s">
        <v>401</v>
      </c>
      <c r="B3313" s="2" t="s">
        <v>1007</v>
      </c>
      <c r="C3313" s="5" t="s">
        <v>5519</v>
      </c>
      <c r="D3313" s="2" t="s">
        <v>5520</v>
      </c>
    </row>
    <row r="3314" spans="1:4" ht="12.95" customHeight="1" x14ac:dyDescent="0.25">
      <c r="A3314" s="2" t="s">
        <v>401</v>
      </c>
      <c r="B3314" s="2" t="s">
        <v>1007</v>
      </c>
      <c r="C3314" s="5" t="s">
        <v>5521</v>
      </c>
      <c r="D3314" s="2" t="s">
        <v>5522</v>
      </c>
    </row>
    <row r="3315" spans="1:4" ht="12.95" customHeight="1" x14ac:dyDescent="0.25">
      <c r="A3315" s="2" t="s">
        <v>401</v>
      </c>
      <c r="B3315" s="2" t="s">
        <v>1007</v>
      </c>
      <c r="C3315" s="5" t="s">
        <v>5523</v>
      </c>
      <c r="D3315" s="2" t="s">
        <v>3392</v>
      </c>
    </row>
    <row r="3316" spans="1:4" ht="12.95" customHeight="1" x14ac:dyDescent="0.25">
      <c r="A3316" s="2" t="s">
        <v>401</v>
      </c>
      <c r="B3316" s="2" t="s">
        <v>1007</v>
      </c>
      <c r="C3316" s="5" t="s">
        <v>5524</v>
      </c>
      <c r="D3316" s="2" t="s">
        <v>3394</v>
      </c>
    </row>
    <row r="3317" spans="1:4" ht="12.95" customHeight="1" x14ac:dyDescent="0.25">
      <c r="A3317" s="2" t="s">
        <v>401</v>
      </c>
      <c r="B3317" s="2" t="s">
        <v>1007</v>
      </c>
      <c r="C3317" s="5" t="s">
        <v>5525</v>
      </c>
      <c r="D3317" s="2" t="s">
        <v>5526</v>
      </c>
    </row>
    <row r="3318" spans="1:4" ht="12.95" customHeight="1" x14ac:dyDescent="0.25">
      <c r="A3318" s="2" t="s">
        <v>401</v>
      </c>
      <c r="B3318" s="2" t="s">
        <v>1007</v>
      </c>
      <c r="C3318" s="5" t="s">
        <v>5527</v>
      </c>
      <c r="D3318" s="2" t="s">
        <v>3280</v>
      </c>
    </row>
    <row r="3319" spans="1:4" ht="12.95" customHeight="1" x14ac:dyDescent="0.25">
      <c r="A3319" s="2" t="s">
        <v>401</v>
      </c>
      <c r="B3319" s="2" t="s">
        <v>1007</v>
      </c>
      <c r="C3319" s="5" t="s">
        <v>5528</v>
      </c>
      <c r="D3319" s="2" t="s">
        <v>3282</v>
      </c>
    </row>
    <row r="3320" spans="1:4" ht="12.95" customHeight="1" x14ac:dyDescent="0.25">
      <c r="A3320" s="2" t="s">
        <v>401</v>
      </c>
      <c r="B3320" s="2" t="s">
        <v>1007</v>
      </c>
      <c r="C3320" s="5" t="s">
        <v>5529</v>
      </c>
      <c r="D3320" s="2" t="s">
        <v>5530</v>
      </c>
    </row>
    <row r="3321" spans="1:4" ht="12.95" customHeight="1" x14ac:dyDescent="0.25">
      <c r="A3321" s="2" t="s">
        <v>401</v>
      </c>
      <c r="B3321" s="2" t="s">
        <v>1007</v>
      </c>
      <c r="C3321" s="5" t="s">
        <v>5531</v>
      </c>
      <c r="D3321" s="2" t="s">
        <v>5532</v>
      </c>
    </row>
    <row r="3322" spans="1:4" ht="12.95" customHeight="1" x14ac:dyDescent="0.25">
      <c r="A3322" s="2" t="s">
        <v>401</v>
      </c>
      <c r="B3322" s="2" t="s">
        <v>1007</v>
      </c>
      <c r="C3322" s="5" t="s">
        <v>5533</v>
      </c>
      <c r="D3322" s="2" t="s">
        <v>5534</v>
      </c>
    </row>
    <row r="3323" spans="1:4" ht="12.95" customHeight="1" x14ac:dyDescent="0.25">
      <c r="A3323" s="2" t="s">
        <v>401</v>
      </c>
      <c r="B3323" s="2" t="s">
        <v>1007</v>
      </c>
      <c r="C3323" s="5" t="s">
        <v>5535</v>
      </c>
      <c r="D3323" s="2" t="s">
        <v>5536</v>
      </c>
    </row>
    <row r="3324" spans="1:4" ht="12.95" customHeight="1" x14ac:dyDescent="0.25">
      <c r="A3324" s="2" t="s">
        <v>401</v>
      </c>
      <c r="B3324" s="2" t="s">
        <v>1007</v>
      </c>
      <c r="C3324" s="5" t="s">
        <v>5537</v>
      </c>
      <c r="D3324" s="2" t="s">
        <v>5538</v>
      </c>
    </row>
    <row r="3325" spans="1:4" ht="12.95" customHeight="1" x14ac:dyDescent="0.25">
      <c r="A3325" s="2" t="s">
        <v>401</v>
      </c>
      <c r="B3325" s="2" t="s">
        <v>1007</v>
      </c>
      <c r="C3325" s="5" t="s">
        <v>5539</v>
      </c>
      <c r="D3325" s="2" t="s">
        <v>3280</v>
      </c>
    </row>
    <row r="3326" spans="1:4" ht="12.95" customHeight="1" x14ac:dyDescent="0.25">
      <c r="A3326" s="2" t="s">
        <v>401</v>
      </c>
      <c r="B3326" s="2" t="s">
        <v>1007</v>
      </c>
      <c r="C3326" s="5" t="s">
        <v>5540</v>
      </c>
      <c r="D3326" s="2" t="s">
        <v>3282</v>
      </c>
    </row>
    <row r="3327" spans="1:4" ht="12.95" customHeight="1" x14ac:dyDescent="0.25">
      <c r="A3327" s="2" t="s">
        <v>401</v>
      </c>
      <c r="B3327" s="2" t="s">
        <v>1007</v>
      </c>
      <c r="C3327" s="5" t="s">
        <v>5541</v>
      </c>
      <c r="D3327" s="2" t="s">
        <v>5542</v>
      </c>
    </row>
    <row r="3328" spans="1:4" ht="12.95" customHeight="1" x14ac:dyDescent="0.25">
      <c r="A3328" s="2" t="s">
        <v>401</v>
      </c>
      <c r="B3328" s="2" t="s">
        <v>1007</v>
      </c>
      <c r="C3328" s="5" t="s">
        <v>5543</v>
      </c>
      <c r="D3328" s="2" t="s">
        <v>5544</v>
      </c>
    </row>
    <row r="3329" spans="1:4" ht="12.95" customHeight="1" x14ac:dyDescent="0.25">
      <c r="A3329" s="2" t="s">
        <v>401</v>
      </c>
      <c r="B3329" s="2" t="s">
        <v>1007</v>
      </c>
      <c r="C3329" s="5" t="s">
        <v>5545</v>
      </c>
      <c r="D3329" s="2" t="s">
        <v>5546</v>
      </c>
    </row>
    <row r="3330" spans="1:4" ht="12.95" customHeight="1" x14ac:dyDescent="0.25">
      <c r="A3330" s="2" t="s">
        <v>401</v>
      </c>
      <c r="B3330" s="2" t="s">
        <v>1007</v>
      </c>
      <c r="C3330" s="5" t="s">
        <v>5547</v>
      </c>
      <c r="D3330" s="2" t="s">
        <v>5548</v>
      </c>
    </row>
    <row r="3331" spans="1:4" ht="12.95" customHeight="1" x14ac:dyDescent="0.25">
      <c r="A3331" s="2" t="s">
        <v>401</v>
      </c>
      <c r="B3331" s="2" t="s">
        <v>1007</v>
      </c>
      <c r="C3331" s="5" t="s">
        <v>5549</v>
      </c>
      <c r="D3331" s="2" t="s">
        <v>5550</v>
      </c>
    </row>
    <row r="3332" spans="1:4" ht="12.95" customHeight="1" x14ac:dyDescent="0.25">
      <c r="A3332" s="2" t="s">
        <v>401</v>
      </c>
      <c r="B3332" s="2" t="s">
        <v>1007</v>
      </c>
      <c r="C3332" s="5" t="s">
        <v>5551</v>
      </c>
      <c r="D3332" s="2" t="s">
        <v>5552</v>
      </c>
    </row>
    <row r="3333" spans="1:4" ht="12.95" customHeight="1" x14ac:dyDescent="0.25">
      <c r="A3333" s="2" t="s">
        <v>401</v>
      </c>
      <c r="B3333" s="2" t="s">
        <v>1007</v>
      </c>
      <c r="C3333" s="5" t="s">
        <v>5553</v>
      </c>
      <c r="D3333" s="2" t="s">
        <v>5554</v>
      </c>
    </row>
    <row r="3334" spans="1:4" ht="12.95" customHeight="1" x14ac:dyDescent="0.25">
      <c r="A3334" s="2" t="s">
        <v>401</v>
      </c>
      <c r="B3334" s="2" t="s">
        <v>1007</v>
      </c>
      <c r="C3334" s="5" t="s">
        <v>5555</v>
      </c>
      <c r="D3334" s="2" t="s">
        <v>5556</v>
      </c>
    </row>
    <row r="3335" spans="1:4" ht="12.95" customHeight="1" x14ac:dyDescent="0.25">
      <c r="A3335" s="2" t="s">
        <v>401</v>
      </c>
      <c r="B3335" s="2" t="s">
        <v>1007</v>
      </c>
      <c r="C3335" s="5" t="s">
        <v>5557</v>
      </c>
      <c r="D3335" s="2" t="s">
        <v>5558</v>
      </c>
    </row>
    <row r="3336" spans="1:4" ht="12.95" customHeight="1" x14ac:dyDescent="0.25">
      <c r="A3336" s="2" t="s">
        <v>401</v>
      </c>
      <c r="B3336" s="2" t="s">
        <v>1007</v>
      </c>
      <c r="C3336" s="5" t="s">
        <v>5559</v>
      </c>
      <c r="D3336" s="2" t="s">
        <v>5560</v>
      </c>
    </row>
    <row r="3337" spans="1:4" ht="12.95" customHeight="1" x14ac:dyDescent="0.25">
      <c r="A3337" s="2" t="s">
        <v>401</v>
      </c>
      <c r="B3337" s="2" t="s">
        <v>1007</v>
      </c>
      <c r="C3337" s="5" t="s">
        <v>5561</v>
      </c>
      <c r="D3337" s="2" t="s">
        <v>5562</v>
      </c>
    </row>
    <row r="3338" spans="1:4" ht="12.95" customHeight="1" x14ac:dyDescent="0.25">
      <c r="A3338" s="2" t="s">
        <v>401</v>
      </c>
      <c r="B3338" s="2" t="s">
        <v>1007</v>
      </c>
      <c r="C3338" s="5" t="s">
        <v>5563</v>
      </c>
      <c r="D3338" s="2" t="s">
        <v>5564</v>
      </c>
    </row>
    <row r="3339" spans="1:4" ht="12.95" customHeight="1" x14ac:dyDescent="0.25">
      <c r="A3339" s="2" t="s">
        <v>401</v>
      </c>
      <c r="B3339" s="2" t="s">
        <v>1007</v>
      </c>
      <c r="C3339" s="5" t="s">
        <v>5565</v>
      </c>
      <c r="D3339" s="2" t="s">
        <v>5566</v>
      </c>
    </row>
    <row r="3340" spans="1:4" ht="12.95" customHeight="1" x14ac:dyDescent="0.25">
      <c r="A3340" s="2" t="s">
        <v>401</v>
      </c>
      <c r="B3340" s="2" t="s">
        <v>1007</v>
      </c>
      <c r="C3340" s="5" t="s">
        <v>5567</v>
      </c>
      <c r="D3340" s="2" t="s">
        <v>5568</v>
      </c>
    </row>
    <row r="3341" spans="1:4" ht="12.95" customHeight="1" x14ac:dyDescent="0.25">
      <c r="A3341" s="2" t="s">
        <v>401</v>
      </c>
      <c r="B3341" s="2" t="s">
        <v>1007</v>
      </c>
      <c r="C3341" s="5" t="s">
        <v>5569</v>
      </c>
      <c r="D3341" s="2" t="s">
        <v>5570</v>
      </c>
    </row>
    <row r="3342" spans="1:4" ht="12.95" customHeight="1" x14ac:dyDescent="0.25">
      <c r="A3342" s="2" t="s">
        <v>401</v>
      </c>
      <c r="B3342" s="2" t="s">
        <v>1007</v>
      </c>
      <c r="C3342" s="5" t="s">
        <v>5571</v>
      </c>
      <c r="D3342" s="2" t="s">
        <v>5572</v>
      </c>
    </row>
    <row r="3343" spans="1:4" ht="12.95" customHeight="1" x14ac:dyDescent="0.25">
      <c r="A3343" s="2" t="s">
        <v>401</v>
      </c>
      <c r="B3343" s="2" t="s">
        <v>1007</v>
      </c>
      <c r="C3343" s="5" t="s">
        <v>5573</v>
      </c>
      <c r="D3343" s="2" t="s">
        <v>5574</v>
      </c>
    </row>
    <row r="3344" spans="1:4" ht="12.95" customHeight="1" x14ac:dyDescent="0.25">
      <c r="A3344" s="2" t="s">
        <v>401</v>
      </c>
      <c r="B3344" s="2" t="s">
        <v>1007</v>
      </c>
      <c r="C3344" s="5" t="s">
        <v>5575</v>
      </c>
      <c r="D3344" s="2" t="s">
        <v>5576</v>
      </c>
    </row>
    <row r="3345" spans="1:4" ht="12.95" customHeight="1" x14ac:dyDescent="0.25">
      <c r="A3345" s="2" t="s">
        <v>401</v>
      </c>
      <c r="B3345" s="2" t="s">
        <v>1007</v>
      </c>
      <c r="C3345" s="5" t="s">
        <v>5577</v>
      </c>
      <c r="D3345" s="2" t="s">
        <v>5578</v>
      </c>
    </row>
    <row r="3346" spans="1:4" ht="12.95" customHeight="1" x14ac:dyDescent="0.25">
      <c r="A3346" s="2" t="s">
        <v>401</v>
      </c>
      <c r="B3346" s="2" t="s">
        <v>1007</v>
      </c>
      <c r="C3346" s="5" t="s">
        <v>5579</v>
      </c>
      <c r="D3346" s="2" t="s">
        <v>5580</v>
      </c>
    </row>
    <row r="3347" spans="1:4" ht="12.95" customHeight="1" x14ac:dyDescent="0.25">
      <c r="A3347" s="2" t="s">
        <v>401</v>
      </c>
      <c r="B3347" s="2" t="s">
        <v>1007</v>
      </c>
      <c r="C3347" s="5" t="s">
        <v>5581</v>
      </c>
      <c r="D3347" s="2" t="s">
        <v>5582</v>
      </c>
    </row>
    <row r="3348" spans="1:4" ht="12.95" customHeight="1" x14ac:dyDescent="0.25">
      <c r="A3348" s="2" t="s">
        <v>401</v>
      </c>
      <c r="B3348" s="2" t="s">
        <v>1007</v>
      </c>
      <c r="C3348" s="5" t="s">
        <v>5583</v>
      </c>
      <c r="D3348" s="2" t="s">
        <v>5584</v>
      </c>
    </row>
    <row r="3349" spans="1:4" ht="12.95" customHeight="1" x14ac:dyDescent="0.25">
      <c r="A3349" s="2" t="s">
        <v>401</v>
      </c>
      <c r="B3349" s="2" t="s">
        <v>1007</v>
      </c>
      <c r="C3349" s="5" t="s">
        <v>5585</v>
      </c>
      <c r="D3349" s="2" t="s">
        <v>5586</v>
      </c>
    </row>
    <row r="3350" spans="1:4" ht="12.95" customHeight="1" x14ac:dyDescent="0.25">
      <c r="A3350" s="2" t="s">
        <v>401</v>
      </c>
      <c r="B3350" s="2" t="s">
        <v>1007</v>
      </c>
      <c r="C3350" s="5" t="s">
        <v>5587</v>
      </c>
      <c r="D3350" s="2" t="s">
        <v>5588</v>
      </c>
    </row>
    <row r="3351" spans="1:4" ht="12.95" customHeight="1" x14ac:dyDescent="0.25">
      <c r="A3351" s="2" t="s">
        <v>401</v>
      </c>
      <c r="B3351" s="2" t="s">
        <v>1007</v>
      </c>
      <c r="C3351" s="5" t="s">
        <v>5589</v>
      </c>
      <c r="D3351" s="2" t="s">
        <v>5590</v>
      </c>
    </row>
    <row r="3352" spans="1:4" ht="12.95" customHeight="1" x14ac:dyDescent="0.25">
      <c r="A3352" s="2" t="s">
        <v>401</v>
      </c>
      <c r="B3352" s="2" t="s">
        <v>1007</v>
      </c>
      <c r="C3352" s="5" t="s">
        <v>5591</v>
      </c>
      <c r="D3352" s="2" t="s">
        <v>5592</v>
      </c>
    </row>
    <row r="3353" spans="1:4" ht="12.95" customHeight="1" x14ac:dyDescent="0.25">
      <c r="A3353" s="2" t="s">
        <v>401</v>
      </c>
      <c r="B3353" s="2" t="s">
        <v>1007</v>
      </c>
      <c r="C3353" s="5" t="s">
        <v>5593</v>
      </c>
      <c r="D3353" s="2" t="s">
        <v>5594</v>
      </c>
    </row>
    <row r="3354" spans="1:4" ht="12.95" customHeight="1" x14ac:dyDescent="0.25">
      <c r="A3354" s="2" t="s">
        <v>401</v>
      </c>
      <c r="B3354" s="2" t="s">
        <v>1007</v>
      </c>
      <c r="C3354" s="5" t="s">
        <v>5595</v>
      </c>
      <c r="D3354" s="2" t="s">
        <v>5596</v>
      </c>
    </row>
    <row r="3355" spans="1:4" ht="12.95" customHeight="1" x14ac:dyDescent="0.25">
      <c r="A3355" s="2" t="s">
        <v>401</v>
      </c>
      <c r="B3355" s="2" t="s">
        <v>1007</v>
      </c>
      <c r="C3355" s="5" t="s">
        <v>5597</v>
      </c>
      <c r="D3355" s="2" t="s">
        <v>5598</v>
      </c>
    </row>
    <row r="3356" spans="1:4" ht="12.95" customHeight="1" x14ac:dyDescent="0.25">
      <c r="A3356" s="2" t="s">
        <v>401</v>
      </c>
      <c r="B3356" s="2" t="s">
        <v>1007</v>
      </c>
      <c r="C3356" s="5" t="s">
        <v>5599</v>
      </c>
      <c r="D3356" s="2" t="s">
        <v>5600</v>
      </c>
    </row>
    <row r="3357" spans="1:4" ht="12.95" customHeight="1" x14ac:dyDescent="0.25">
      <c r="A3357" s="2" t="s">
        <v>401</v>
      </c>
      <c r="B3357" s="2" t="s">
        <v>1007</v>
      </c>
      <c r="C3357" s="5" t="s">
        <v>5601</v>
      </c>
      <c r="D3357" s="2" t="s">
        <v>5103</v>
      </c>
    </row>
    <row r="3358" spans="1:4" ht="12.95" customHeight="1" x14ac:dyDescent="0.25">
      <c r="A3358" s="2" t="s">
        <v>401</v>
      </c>
      <c r="B3358" s="2" t="s">
        <v>1007</v>
      </c>
      <c r="C3358" s="5" t="s">
        <v>5602</v>
      </c>
      <c r="D3358" s="2" t="s">
        <v>4885</v>
      </c>
    </row>
    <row r="3359" spans="1:4" ht="12.95" customHeight="1" x14ac:dyDescent="0.25">
      <c r="A3359" s="2" t="s">
        <v>401</v>
      </c>
      <c r="B3359" s="2" t="s">
        <v>1007</v>
      </c>
      <c r="C3359" s="5" t="s">
        <v>5603</v>
      </c>
      <c r="D3359" s="2" t="s">
        <v>4447</v>
      </c>
    </row>
    <row r="3360" spans="1:4" ht="12.95" customHeight="1" x14ac:dyDescent="0.25">
      <c r="A3360" s="2" t="s">
        <v>401</v>
      </c>
      <c r="B3360" s="2" t="s">
        <v>1007</v>
      </c>
      <c r="C3360" s="5" t="s">
        <v>5604</v>
      </c>
      <c r="D3360" s="2" t="s">
        <v>5107</v>
      </c>
    </row>
    <row r="3361" spans="1:4" ht="12.95" customHeight="1" x14ac:dyDescent="0.25">
      <c r="A3361" s="2" t="s">
        <v>401</v>
      </c>
      <c r="B3361" s="2" t="s">
        <v>1007</v>
      </c>
      <c r="C3361" s="5" t="s">
        <v>5605</v>
      </c>
      <c r="D3361" s="2" t="s">
        <v>4449</v>
      </c>
    </row>
    <row r="3362" spans="1:4" ht="12.95" customHeight="1" x14ac:dyDescent="0.25">
      <c r="A3362" s="2" t="s">
        <v>401</v>
      </c>
      <c r="B3362" s="2" t="s">
        <v>1007</v>
      </c>
      <c r="C3362" s="5" t="s">
        <v>5606</v>
      </c>
      <c r="D3362" s="2" t="s">
        <v>5110</v>
      </c>
    </row>
    <row r="3363" spans="1:4" ht="12.95" customHeight="1" x14ac:dyDescent="0.25">
      <c r="A3363" s="2" t="s">
        <v>401</v>
      </c>
      <c r="B3363" s="2" t="s">
        <v>1007</v>
      </c>
      <c r="C3363" s="5" t="s">
        <v>5607</v>
      </c>
      <c r="D3363" s="2" t="s">
        <v>4887</v>
      </c>
    </row>
    <row r="3364" spans="1:4" ht="12.95" customHeight="1" x14ac:dyDescent="0.25">
      <c r="A3364" s="2" t="s">
        <v>401</v>
      </c>
      <c r="B3364" s="2" t="s">
        <v>1007</v>
      </c>
      <c r="C3364" s="5" t="s">
        <v>5608</v>
      </c>
      <c r="D3364" s="2" t="s">
        <v>5103</v>
      </c>
    </row>
    <row r="3365" spans="1:4" ht="12.95" customHeight="1" x14ac:dyDescent="0.25">
      <c r="A3365" s="2" t="s">
        <v>401</v>
      </c>
      <c r="B3365" s="2" t="s">
        <v>1007</v>
      </c>
      <c r="C3365" s="5" t="s">
        <v>5609</v>
      </c>
      <c r="D3365" s="2" t="s">
        <v>4885</v>
      </c>
    </row>
    <row r="3366" spans="1:4" ht="12.95" customHeight="1" x14ac:dyDescent="0.25">
      <c r="A3366" s="2" t="s">
        <v>401</v>
      </c>
      <c r="B3366" s="2" t="s">
        <v>1007</v>
      </c>
      <c r="C3366" s="5" t="s">
        <v>5610</v>
      </c>
      <c r="D3366" s="2" t="s">
        <v>4447</v>
      </c>
    </row>
    <row r="3367" spans="1:4" ht="12.95" customHeight="1" x14ac:dyDescent="0.25">
      <c r="A3367" s="2" t="s">
        <v>401</v>
      </c>
      <c r="B3367" s="2" t="s">
        <v>1007</v>
      </c>
      <c r="C3367" s="5" t="s">
        <v>5611</v>
      </c>
      <c r="D3367" s="2" t="s">
        <v>5107</v>
      </c>
    </row>
    <row r="3368" spans="1:4" ht="12.95" customHeight="1" x14ac:dyDescent="0.25">
      <c r="A3368" s="2" t="s">
        <v>401</v>
      </c>
      <c r="B3368" s="2" t="s">
        <v>1007</v>
      </c>
      <c r="C3368" s="5" t="s">
        <v>5612</v>
      </c>
      <c r="D3368" s="2" t="s">
        <v>4449</v>
      </c>
    </row>
    <row r="3369" spans="1:4" ht="12.95" customHeight="1" x14ac:dyDescent="0.25">
      <c r="A3369" s="2" t="s">
        <v>401</v>
      </c>
      <c r="B3369" s="2" t="s">
        <v>1007</v>
      </c>
      <c r="C3369" s="5" t="s">
        <v>5613</v>
      </c>
      <c r="D3369" s="2" t="s">
        <v>5110</v>
      </c>
    </row>
    <row r="3370" spans="1:4" ht="12.95" customHeight="1" x14ac:dyDescent="0.25">
      <c r="A3370" s="2" t="s">
        <v>401</v>
      </c>
      <c r="B3370" s="2" t="s">
        <v>1007</v>
      </c>
      <c r="C3370" s="5" t="s">
        <v>5614</v>
      </c>
      <c r="D3370" s="2" t="s">
        <v>4453</v>
      </c>
    </row>
    <row r="3371" spans="1:4" ht="12.95" customHeight="1" x14ac:dyDescent="0.25">
      <c r="A3371" s="2" t="s">
        <v>401</v>
      </c>
      <c r="B3371" s="2" t="s">
        <v>1007</v>
      </c>
      <c r="C3371" s="5" t="s">
        <v>5615</v>
      </c>
      <c r="D3371" s="2" t="s">
        <v>5103</v>
      </c>
    </row>
    <row r="3372" spans="1:4" ht="12.95" customHeight="1" x14ac:dyDescent="0.25">
      <c r="A3372" s="2" t="s">
        <v>401</v>
      </c>
      <c r="B3372" s="2" t="s">
        <v>1007</v>
      </c>
      <c r="C3372" s="5" t="s">
        <v>5616</v>
      </c>
      <c r="D3372" s="2" t="s">
        <v>4885</v>
      </c>
    </row>
    <row r="3373" spans="1:4" ht="12.95" customHeight="1" x14ac:dyDescent="0.25">
      <c r="A3373" s="2" t="s">
        <v>401</v>
      </c>
      <c r="B3373" s="2" t="s">
        <v>1007</v>
      </c>
      <c r="C3373" s="5" t="s">
        <v>5617</v>
      </c>
      <c r="D3373" s="2" t="s">
        <v>4447</v>
      </c>
    </row>
    <row r="3374" spans="1:4" ht="12.95" customHeight="1" x14ac:dyDescent="0.25">
      <c r="A3374" s="2" t="s">
        <v>401</v>
      </c>
      <c r="B3374" s="2" t="s">
        <v>1007</v>
      </c>
      <c r="C3374" s="5" t="s">
        <v>5618</v>
      </c>
      <c r="D3374" s="2" t="s">
        <v>5107</v>
      </c>
    </row>
    <row r="3375" spans="1:4" ht="12.95" customHeight="1" x14ac:dyDescent="0.25">
      <c r="A3375" s="2" t="s">
        <v>401</v>
      </c>
      <c r="B3375" s="2" t="s">
        <v>1007</v>
      </c>
      <c r="C3375" s="5" t="s">
        <v>5619</v>
      </c>
      <c r="D3375" s="2" t="s">
        <v>4449</v>
      </c>
    </row>
    <row r="3376" spans="1:4" ht="12.95" customHeight="1" x14ac:dyDescent="0.25">
      <c r="A3376" s="2" t="s">
        <v>401</v>
      </c>
      <c r="B3376" s="2" t="s">
        <v>1007</v>
      </c>
      <c r="C3376" s="5" t="s">
        <v>5620</v>
      </c>
      <c r="D3376" s="2" t="s">
        <v>5110</v>
      </c>
    </row>
    <row r="3377" spans="1:4" ht="12.95" customHeight="1" x14ac:dyDescent="0.25">
      <c r="A3377" s="2" t="s">
        <v>401</v>
      </c>
      <c r="B3377" s="2" t="s">
        <v>1007</v>
      </c>
      <c r="C3377" s="5" t="s">
        <v>5621</v>
      </c>
      <c r="D3377" s="2" t="s">
        <v>4453</v>
      </c>
    </row>
    <row r="3378" spans="1:4" ht="12.95" customHeight="1" x14ac:dyDescent="0.25">
      <c r="A3378" s="2" t="s">
        <v>401</v>
      </c>
      <c r="B3378" s="2" t="s">
        <v>1007</v>
      </c>
      <c r="C3378" s="5" t="s">
        <v>5622</v>
      </c>
      <c r="D3378" s="2" t="s">
        <v>5264</v>
      </c>
    </row>
    <row r="3379" spans="1:4" ht="12.95" customHeight="1" x14ac:dyDescent="0.25">
      <c r="A3379" s="2" t="s">
        <v>401</v>
      </c>
      <c r="B3379" s="2" t="s">
        <v>1007</v>
      </c>
      <c r="C3379" s="5" t="s">
        <v>5623</v>
      </c>
      <c r="D3379" s="2" t="s">
        <v>5266</v>
      </c>
    </row>
    <row r="3380" spans="1:4" ht="12.95" customHeight="1" x14ac:dyDescent="0.25">
      <c r="A3380" s="2" t="s">
        <v>401</v>
      </c>
      <c r="B3380" s="2" t="s">
        <v>1007</v>
      </c>
      <c r="C3380" s="5" t="s">
        <v>5624</v>
      </c>
      <c r="D3380" s="2" t="s">
        <v>5268</v>
      </c>
    </row>
    <row r="3381" spans="1:4" ht="12.95" customHeight="1" x14ac:dyDescent="0.25">
      <c r="A3381" s="2" t="s">
        <v>401</v>
      </c>
      <c r="B3381" s="2" t="s">
        <v>1007</v>
      </c>
      <c r="C3381" s="5" t="s">
        <v>5625</v>
      </c>
      <c r="D3381" s="2" t="s">
        <v>5270</v>
      </c>
    </row>
    <row r="3382" spans="1:4" ht="12.95" customHeight="1" x14ac:dyDescent="0.25">
      <c r="A3382" s="2" t="s">
        <v>401</v>
      </c>
      <c r="B3382" s="2" t="s">
        <v>1007</v>
      </c>
      <c r="C3382" s="5" t="s">
        <v>5626</v>
      </c>
      <c r="D3382" s="2" t="s">
        <v>5272</v>
      </c>
    </row>
    <row r="3383" spans="1:4" ht="12.95" customHeight="1" x14ac:dyDescent="0.25">
      <c r="A3383" s="2" t="s">
        <v>401</v>
      </c>
      <c r="B3383" s="2" t="s">
        <v>1007</v>
      </c>
      <c r="C3383" s="5" t="s">
        <v>5627</v>
      </c>
      <c r="D3383" s="2" t="s">
        <v>5274</v>
      </c>
    </row>
    <row r="3384" spans="1:4" ht="12.95" customHeight="1" x14ac:dyDescent="0.25">
      <c r="A3384" s="2" t="s">
        <v>401</v>
      </c>
      <c r="B3384" s="2" t="s">
        <v>1007</v>
      </c>
      <c r="C3384" s="5" t="s">
        <v>5628</v>
      </c>
      <c r="D3384" s="2" t="s">
        <v>4453</v>
      </c>
    </row>
    <row r="3385" spans="1:4" ht="12.95" customHeight="1" x14ac:dyDescent="0.25">
      <c r="A3385" s="2" t="s">
        <v>401</v>
      </c>
      <c r="B3385" s="2" t="s">
        <v>1007</v>
      </c>
      <c r="C3385" s="5" t="s">
        <v>5629</v>
      </c>
      <c r="D3385" s="2" t="s">
        <v>5278</v>
      </c>
    </row>
    <row r="3386" spans="1:4" ht="12.95" customHeight="1" x14ac:dyDescent="0.25">
      <c r="A3386" s="2" t="s">
        <v>401</v>
      </c>
      <c r="B3386" s="2" t="s">
        <v>1007</v>
      </c>
      <c r="C3386" s="5" t="s">
        <v>5630</v>
      </c>
      <c r="D3386" s="2" t="s">
        <v>4621</v>
      </c>
    </row>
    <row r="3387" spans="1:4" ht="12.95" customHeight="1" x14ac:dyDescent="0.25">
      <c r="A3387" s="2" t="s">
        <v>401</v>
      </c>
      <c r="B3387" s="2" t="s">
        <v>1007</v>
      </c>
      <c r="C3387" s="5" t="s">
        <v>5631</v>
      </c>
      <c r="D3387" s="2" t="s">
        <v>4623</v>
      </c>
    </row>
    <row r="3388" spans="1:4" ht="12.95" customHeight="1" x14ac:dyDescent="0.25">
      <c r="A3388" s="2" t="s">
        <v>401</v>
      </c>
      <c r="B3388" s="2" t="s">
        <v>1007</v>
      </c>
      <c r="C3388" s="5" t="s">
        <v>5632</v>
      </c>
      <c r="D3388" s="2" t="s">
        <v>4625</v>
      </c>
    </row>
    <row r="3389" spans="1:4" ht="12.95" customHeight="1" x14ac:dyDescent="0.25">
      <c r="A3389" s="2" t="s">
        <v>401</v>
      </c>
      <c r="B3389" s="2" t="s">
        <v>1007</v>
      </c>
      <c r="C3389" s="5" t="s">
        <v>5633</v>
      </c>
      <c r="D3389" s="2" t="s">
        <v>4453</v>
      </c>
    </row>
    <row r="3390" spans="1:4" ht="12.95" customHeight="1" x14ac:dyDescent="0.25">
      <c r="A3390" s="2" t="s">
        <v>401</v>
      </c>
      <c r="B3390" s="2" t="s">
        <v>1007</v>
      </c>
      <c r="C3390" s="5" t="s">
        <v>5634</v>
      </c>
      <c r="D3390" s="2" t="s">
        <v>5635</v>
      </c>
    </row>
    <row r="3391" spans="1:4" ht="12.95" customHeight="1" x14ac:dyDescent="0.25">
      <c r="A3391" s="2" t="s">
        <v>401</v>
      </c>
      <c r="B3391" s="2" t="s">
        <v>1007</v>
      </c>
      <c r="C3391" s="5" t="s">
        <v>5636</v>
      </c>
      <c r="D3391" s="2" t="s">
        <v>5107</v>
      </c>
    </row>
    <row r="3392" spans="1:4" ht="12.95" customHeight="1" x14ac:dyDescent="0.25">
      <c r="A3392" s="2" t="s">
        <v>401</v>
      </c>
      <c r="B3392" s="2" t="s">
        <v>1007</v>
      </c>
      <c r="C3392" s="5" t="s">
        <v>5637</v>
      </c>
      <c r="D3392" s="2" t="s">
        <v>4449</v>
      </c>
    </row>
    <row r="3393" spans="1:4" ht="12.95" customHeight="1" x14ac:dyDescent="0.25">
      <c r="A3393" s="2" t="s">
        <v>401</v>
      </c>
      <c r="B3393" s="2" t="s">
        <v>1007</v>
      </c>
      <c r="C3393" s="5" t="s">
        <v>5638</v>
      </c>
      <c r="D3393" s="2" t="s">
        <v>5110</v>
      </c>
    </row>
    <row r="3394" spans="1:4" ht="12.95" customHeight="1" x14ac:dyDescent="0.25">
      <c r="A3394" s="2" t="s">
        <v>401</v>
      </c>
      <c r="B3394" s="2" t="s">
        <v>1007</v>
      </c>
      <c r="C3394" s="5" t="s">
        <v>5639</v>
      </c>
      <c r="D3394" s="2" t="s">
        <v>4453</v>
      </c>
    </row>
    <row r="3395" spans="1:4" ht="12.95" customHeight="1" x14ac:dyDescent="0.25">
      <c r="A3395" s="2" t="s">
        <v>401</v>
      </c>
      <c r="B3395" s="2" t="s">
        <v>1007</v>
      </c>
      <c r="C3395" s="5" t="s">
        <v>5640</v>
      </c>
      <c r="D3395" s="2" t="s">
        <v>5107</v>
      </c>
    </row>
    <row r="3396" spans="1:4" ht="12.95" customHeight="1" x14ac:dyDescent="0.25">
      <c r="A3396" s="2" t="s">
        <v>401</v>
      </c>
      <c r="B3396" s="2" t="s">
        <v>1007</v>
      </c>
      <c r="C3396" s="5" t="s">
        <v>5641</v>
      </c>
      <c r="D3396" s="2" t="s">
        <v>4449</v>
      </c>
    </row>
    <row r="3397" spans="1:4" ht="12.95" customHeight="1" x14ac:dyDescent="0.25">
      <c r="A3397" s="2" t="s">
        <v>401</v>
      </c>
      <c r="B3397" s="2" t="s">
        <v>1007</v>
      </c>
      <c r="C3397" s="5" t="s">
        <v>5642</v>
      </c>
      <c r="D3397" s="2" t="s">
        <v>5110</v>
      </c>
    </row>
    <row r="3398" spans="1:4" ht="12.95" customHeight="1" x14ac:dyDescent="0.25">
      <c r="A3398" s="2" t="s">
        <v>401</v>
      </c>
      <c r="B3398" s="2" t="s">
        <v>1007</v>
      </c>
      <c r="C3398" s="5" t="s">
        <v>5643</v>
      </c>
      <c r="D3398" s="2" t="s">
        <v>4887</v>
      </c>
    </row>
    <row r="3399" spans="1:4" ht="12.95" customHeight="1" x14ac:dyDescent="0.25">
      <c r="A3399" s="2" t="s">
        <v>401</v>
      </c>
      <c r="B3399" s="2" t="s">
        <v>1007</v>
      </c>
      <c r="C3399" s="5" t="s">
        <v>5644</v>
      </c>
      <c r="D3399" s="2" t="s">
        <v>5264</v>
      </c>
    </row>
    <row r="3400" spans="1:4" ht="12.95" customHeight="1" x14ac:dyDescent="0.25">
      <c r="A3400" s="2" t="s">
        <v>401</v>
      </c>
      <c r="B3400" s="2" t="s">
        <v>1007</v>
      </c>
      <c r="C3400" s="5" t="s">
        <v>5645</v>
      </c>
      <c r="D3400" s="2" t="s">
        <v>5266</v>
      </c>
    </row>
    <row r="3401" spans="1:4" ht="12.95" customHeight="1" x14ac:dyDescent="0.25">
      <c r="A3401" s="2" t="s">
        <v>401</v>
      </c>
      <c r="B3401" s="2" t="s">
        <v>1007</v>
      </c>
      <c r="C3401" s="5" t="s">
        <v>5646</v>
      </c>
      <c r="D3401" s="2" t="s">
        <v>5268</v>
      </c>
    </row>
    <row r="3402" spans="1:4" ht="12.95" customHeight="1" x14ac:dyDescent="0.25">
      <c r="A3402" s="2" t="s">
        <v>401</v>
      </c>
      <c r="B3402" s="2" t="s">
        <v>1007</v>
      </c>
      <c r="C3402" s="5" t="s">
        <v>5647</v>
      </c>
      <c r="D3402" s="2" t="s">
        <v>5270</v>
      </c>
    </row>
    <row r="3403" spans="1:4" ht="12.95" customHeight="1" x14ac:dyDescent="0.25">
      <c r="A3403" s="2" t="s">
        <v>401</v>
      </c>
      <c r="B3403" s="2" t="s">
        <v>1007</v>
      </c>
      <c r="C3403" s="5" t="s">
        <v>5648</v>
      </c>
      <c r="D3403" s="2" t="s">
        <v>5272</v>
      </c>
    </row>
    <row r="3404" spans="1:4" ht="12.95" customHeight="1" x14ac:dyDescent="0.25">
      <c r="A3404" s="2" t="s">
        <v>401</v>
      </c>
      <c r="B3404" s="2" t="s">
        <v>1007</v>
      </c>
      <c r="C3404" s="5" t="s">
        <v>5649</v>
      </c>
      <c r="D3404" s="2" t="s">
        <v>5274</v>
      </c>
    </row>
    <row r="3405" spans="1:4" ht="12.95" customHeight="1" x14ac:dyDescent="0.25">
      <c r="A3405" s="2" t="s">
        <v>401</v>
      </c>
      <c r="B3405" s="2" t="s">
        <v>1007</v>
      </c>
      <c r="C3405" s="5" t="s">
        <v>5650</v>
      </c>
      <c r="D3405" s="2" t="s">
        <v>4453</v>
      </c>
    </row>
    <row r="3406" spans="1:4" ht="12.95" customHeight="1" x14ac:dyDescent="0.25">
      <c r="A3406" s="2" t="s">
        <v>401</v>
      </c>
      <c r="B3406" s="2" t="s">
        <v>1007</v>
      </c>
      <c r="C3406" s="5" t="s">
        <v>5651</v>
      </c>
      <c r="D3406" s="2" t="s">
        <v>5278</v>
      </c>
    </row>
    <row r="3407" spans="1:4" ht="12.95" customHeight="1" x14ac:dyDescent="0.25">
      <c r="A3407" s="2" t="s">
        <v>401</v>
      </c>
      <c r="B3407" s="2" t="s">
        <v>1007</v>
      </c>
      <c r="C3407" s="5" t="s">
        <v>5652</v>
      </c>
      <c r="D3407" s="2" t="s">
        <v>4621</v>
      </c>
    </row>
    <row r="3408" spans="1:4" ht="12.95" customHeight="1" x14ac:dyDescent="0.25">
      <c r="A3408" s="2" t="s">
        <v>401</v>
      </c>
      <c r="B3408" s="2" t="s">
        <v>1007</v>
      </c>
      <c r="C3408" s="5" t="s">
        <v>5653</v>
      </c>
      <c r="D3408" s="2" t="s">
        <v>4623</v>
      </c>
    </row>
    <row r="3409" spans="1:4" ht="12.95" customHeight="1" x14ac:dyDescent="0.25">
      <c r="A3409" s="2" t="s">
        <v>401</v>
      </c>
      <c r="B3409" s="2" t="s">
        <v>1007</v>
      </c>
      <c r="C3409" s="5" t="s">
        <v>5654</v>
      </c>
      <c r="D3409" s="2" t="s">
        <v>4625</v>
      </c>
    </row>
    <row r="3410" spans="1:4" ht="12.95" customHeight="1" x14ac:dyDescent="0.25">
      <c r="A3410" s="2" t="s">
        <v>401</v>
      </c>
      <c r="B3410" s="2" t="s">
        <v>1007</v>
      </c>
      <c r="C3410" s="5" t="s">
        <v>5655</v>
      </c>
      <c r="D3410" s="2" t="s">
        <v>4453</v>
      </c>
    </row>
    <row r="3411" spans="1:4" ht="12.95" customHeight="1" x14ac:dyDescent="0.25">
      <c r="A3411" s="2" t="s">
        <v>401</v>
      </c>
      <c r="B3411" s="2" t="s">
        <v>1007</v>
      </c>
      <c r="C3411" s="5" t="s">
        <v>5656</v>
      </c>
      <c r="D3411" s="2" t="s">
        <v>5175</v>
      </c>
    </row>
    <row r="3412" spans="1:4" ht="12.95" customHeight="1" x14ac:dyDescent="0.25">
      <c r="A3412" s="2" t="s">
        <v>401</v>
      </c>
      <c r="B3412" s="2" t="s">
        <v>1007</v>
      </c>
      <c r="C3412" s="5" t="s">
        <v>5657</v>
      </c>
      <c r="D3412" s="2" t="s">
        <v>5110</v>
      </c>
    </row>
    <row r="3413" spans="1:4" ht="12.95" customHeight="1" x14ac:dyDescent="0.25">
      <c r="A3413" s="2" t="s">
        <v>401</v>
      </c>
      <c r="B3413" s="2" t="s">
        <v>1007</v>
      </c>
      <c r="C3413" s="5" t="s">
        <v>5658</v>
      </c>
      <c r="D3413" s="2" t="s">
        <v>4453</v>
      </c>
    </row>
    <row r="3414" spans="1:4" ht="12.95" customHeight="1" x14ac:dyDescent="0.25">
      <c r="A3414" s="2" t="s">
        <v>401</v>
      </c>
      <c r="B3414" s="2" t="s">
        <v>1007</v>
      </c>
      <c r="C3414" s="5" t="s">
        <v>5659</v>
      </c>
      <c r="D3414" s="2" t="s">
        <v>5175</v>
      </c>
    </row>
    <row r="3415" spans="1:4" ht="12.95" customHeight="1" x14ac:dyDescent="0.25">
      <c r="A3415" s="2" t="s">
        <v>401</v>
      </c>
      <c r="B3415" s="2" t="s">
        <v>1007</v>
      </c>
      <c r="C3415" s="5" t="s">
        <v>5660</v>
      </c>
      <c r="D3415" s="2" t="s">
        <v>3511</v>
      </c>
    </row>
    <row r="3416" spans="1:4" ht="12.95" customHeight="1" x14ac:dyDescent="0.25">
      <c r="A3416" s="2" t="s">
        <v>401</v>
      </c>
      <c r="B3416" s="2" t="s">
        <v>1007</v>
      </c>
      <c r="C3416" s="5" t="s">
        <v>5661</v>
      </c>
      <c r="D3416" s="2" t="s">
        <v>3517</v>
      </c>
    </row>
    <row r="3417" spans="1:4" ht="12.95" customHeight="1" x14ac:dyDescent="0.25">
      <c r="A3417" s="2" t="s">
        <v>401</v>
      </c>
      <c r="B3417" s="2" t="s">
        <v>1007</v>
      </c>
      <c r="C3417" s="5" t="s">
        <v>5662</v>
      </c>
      <c r="D3417" s="2" t="s">
        <v>3519</v>
      </c>
    </row>
    <row r="3418" spans="1:4" ht="12.95" customHeight="1" x14ac:dyDescent="0.25">
      <c r="A3418" s="2" t="s">
        <v>401</v>
      </c>
      <c r="B3418" s="2" t="s">
        <v>1007</v>
      </c>
      <c r="C3418" s="5" t="s">
        <v>5663</v>
      </c>
      <c r="D3418" s="2" t="s">
        <v>3521</v>
      </c>
    </row>
    <row r="3419" spans="1:4" ht="12.95" customHeight="1" x14ac:dyDescent="0.25">
      <c r="A3419" s="2" t="s">
        <v>401</v>
      </c>
      <c r="B3419" s="2" t="s">
        <v>1007</v>
      </c>
      <c r="C3419" s="5" t="s">
        <v>5664</v>
      </c>
      <c r="D3419" s="2" t="s">
        <v>3712</v>
      </c>
    </row>
    <row r="3420" spans="1:4" ht="12.95" customHeight="1" x14ac:dyDescent="0.25">
      <c r="A3420" s="2" t="s">
        <v>401</v>
      </c>
      <c r="B3420" s="2" t="s">
        <v>1007</v>
      </c>
      <c r="C3420" s="5" t="s">
        <v>5665</v>
      </c>
      <c r="D3420" s="2" t="s">
        <v>3525</v>
      </c>
    </row>
    <row r="3421" spans="1:4" ht="12.95" customHeight="1" x14ac:dyDescent="0.25">
      <c r="A3421" s="2" t="s">
        <v>401</v>
      </c>
      <c r="B3421" s="2" t="s">
        <v>1007</v>
      </c>
      <c r="C3421" s="5" t="s">
        <v>5666</v>
      </c>
      <c r="D3421" s="2" t="s">
        <v>3340</v>
      </c>
    </row>
    <row r="3422" spans="1:4" ht="12.95" customHeight="1" x14ac:dyDescent="0.25">
      <c r="A3422" s="2" t="s">
        <v>401</v>
      </c>
      <c r="B3422" s="2" t="s">
        <v>1007</v>
      </c>
      <c r="C3422" s="5" t="s">
        <v>5667</v>
      </c>
      <c r="D3422" s="2" t="s">
        <v>3528</v>
      </c>
    </row>
    <row r="3423" spans="1:4" ht="12.95" customHeight="1" x14ac:dyDescent="0.25">
      <c r="A3423" s="2" t="s">
        <v>401</v>
      </c>
      <c r="B3423" s="2" t="s">
        <v>1007</v>
      </c>
      <c r="C3423" s="5" t="s">
        <v>5668</v>
      </c>
      <c r="D3423" s="2" t="s">
        <v>4671</v>
      </c>
    </row>
    <row r="3424" spans="1:4" ht="12.95" customHeight="1" x14ac:dyDescent="0.25">
      <c r="A3424" s="2" t="s">
        <v>401</v>
      </c>
      <c r="B3424" s="2" t="s">
        <v>1007</v>
      </c>
      <c r="C3424" s="5" t="s">
        <v>5669</v>
      </c>
      <c r="D3424" s="2" t="s">
        <v>3342</v>
      </c>
    </row>
    <row r="3425" spans="1:4" ht="12.95" customHeight="1" x14ac:dyDescent="0.25">
      <c r="A3425" s="2" t="s">
        <v>401</v>
      </c>
      <c r="B3425" s="2" t="s">
        <v>1007</v>
      </c>
      <c r="C3425" s="5" t="s">
        <v>5670</v>
      </c>
      <c r="D3425" s="2" t="s">
        <v>3344</v>
      </c>
    </row>
    <row r="3426" spans="1:4" ht="12.95" customHeight="1" x14ac:dyDescent="0.25">
      <c r="A3426" s="2" t="s">
        <v>401</v>
      </c>
      <c r="B3426" s="2" t="s">
        <v>1007</v>
      </c>
      <c r="C3426" s="5" t="s">
        <v>5671</v>
      </c>
      <c r="D3426" s="2" t="s">
        <v>3531</v>
      </c>
    </row>
    <row r="3427" spans="1:4" ht="12.95" customHeight="1" x14ac:dyDescent="0.25">
      <c r="A3427" s="2" t="s">
        <v>401</v>
      </c>
      <c r="B3427" s="2" t="s">
        <v>1007</v>
      </c>
      <c r="C3427" s="5" t="s">
        <v>5672</v>
      </c>
      <c r="D3427" s="2" t="s">
        <v>3348</v>
      </c>
    </row>
    <row r="3428" spans="1:4" ht="12.95" customHeight="1" x14ac:dyDescent="0.25">
      <c r="A3428" s="2" t="s">
        <v>401</v>
      </c>
      <c r="B3428" s="2" t="s">
        <v>1007</v>
      </c>
      <c r="C3428" s="5" t="s">
        <v>5673</v>
      </c>
      <c r="D3428" s="2" t="s">
        <v>5674</v>
      </c>
    </row>
    <row r="3429" spans="1:4" ht="12.95" customHeight="1" x14ac:dyDescent="0.25">
      <c r="A3429" s="2" t="s">
        <v>401</v>
      </c>
      <c r="B3429" s="2" t="s">
        <v>1007</v>
      </c>
      <c r="C3429" s="5" t="s">
        <v>5675</v>
      </c>
      <c r="D3429" s="2" t="s">
        <v>3511</v>
      </c>
    </row>
    <row r="3430" spans="1:4" ht="12.95" customHeight="1" x14ac:dyDescent="0.25">
      <c r="A3430" s="2" t="s">
        <v>401</v>
      </c>
      <c r="B3430" s="2" t="s">
        <v>1007</v>
      </c>
      <c r="C3430" s="5" t="s">
        <v>5676</v>
      </c>
      <c r="D3430" s="2" t="s">
        <v>3517</v>
      </c>
    </row>
    <row r="3431" spans="1:4" ht="12.95" customHeight="1" x14ac:dyDescent="0.25">
      <c r="A3431" s="2" t="s">
        <v>401</v>
      </c>
      <c r="B3431" s="2" t="s">
        <v>1007</v>
      </c>
      <c r="C3431" s="5" t="s">
        <v>5677</v>
      </c>
      <c r="D3431" s="2" t="s">
        <v>3519</v>
      </c>
    </row>
    <row r="3432" spans="1:4" ht="12.95" customHeight="1" x14ac:dyDescent="0.25">
      <c r="A3432" s="2" t="s">
        <v>401</v>
      </c>
      <c r="B3432" s="2" t="s">
        <v>1007</v>
      </c>
      <c r="C3432" s="5" t="s">
        <v>5678</v>
      </c>
      <c r="D3432" s="2" t="s">
        <v>3521</v>
      </c>
    </row>
    <row r="3433" spans="1:4" ht="12.95" customHeight="1" x14ac:dyDescent="0.25">
      <c r="A3433" s="2" t="s">
        <v>401</v>
      </c>
      <c r="B3433" s="2" t="s">
        <v>1007</v>
      </c>
      <c r="C3433" s="5" t="s">
        <v>5679</v>
      </c>
      <c r="D3433" s="2" t="s">
        <v>3712</v>
      </c>
    </row>
    <row r="3434" spans="1:4" ht="12.95" customHeight="1" x14ac:dyDescent="0.25">
      <c r="A3434" s="2" t="s">
        <v>401</v>
      </c>
      <c r="B3434" s="2" t="s">
        <v>1007</v>
      </c>
      <c r="C3434" s="5" t="s">
        <v>5680</v>
      </c>
      <c r="D3434" s="2" t="s">
        <v>3525</v>
      </c>
    </row>
    <row r="3435" spans="1:4" ht="12.95" customHeight="1" x14ac:dyDescent="0.25">
      <c r="A3435" s="2" t="s">
        <v>401</v>
      </c>
      <c r="B3435" s="2" t="s">
        <v>1007</v>
      </c>
      <c r="C3435" s="5" t="s">
        <v>5681</v>
      </c>
      <c r="D3435" s="2" t="s">
        <v>3340</v>
      </c>
    </row>
    <row r="3436" spans="1:4" ht="12.95" customHeight="1" x14ac:dyDescent="0.25">
      <c r="A3436" s="2" t="s">
        <v>401</v>
      </c>
      <c r="B3436" s="2" t="s">
        <v>1007</v>
      </c>
      <c r="C3436" s="5" t="s">
        <v>5682</v>
      </c>
      <c r="D3436" s="2" t="s">
        <v>3528</v>
      </c>
    </row>
    <row r="3437" spans="1:4" ht="12.95" customHeight="1" x14ac:dyDescent="0.25">
      <c r="A3437" s="2" t="s">
        <v>401</v>
      </c>
      <c r="B3437" s="2" t="s">
        <v>1007</v>
      </c>
      <c r="C3437" s="5" t="s">
        <v>5683</v>
      </c>
      <c r="D3437" s="2" t="s">
        <v>4671</v>
      </c>
    </row>
    <row r="3438" spans="1:4" ht="12.95" customHeight="1" x14ac:dyDescent="0.25">
      <c r="A3438" s="2" t="s">
        <v>401</v>
      </c>
      <c r="B3438" s="2" t="s">
        <v>1007</v>
      </c>
      <c r="C3438" s="5" t="s">
        <v>5684</v>
      </c>
      <c r="D3438" s="2" t="s">
        <v>3342</v>
      </c>
    </row>
    <row r="3439" spans="1:4" ht="12.95" customHeight="1" x14ac:dyDescent="0.25">
      <c r="A3439" s="2" t="s">
        <v>401</v>
      </c>
      <c r="B3439" s="2" t="s">
        <v>1007</v>
      </c>
      <c r="C3439" s="5" t="s">
        <v>5685</v>
      </c>
      <c r="D3439" s="2" t="s">
        <v>3344</v>
      </c>
    </row>
    <row r="3440" spans="1:4" ht="12.95" customHeight="1" x14ac:dyDescent="0.25">
      <c r="A3440" s="2" t="s">
        <v>401</v>
      </c>
      <c r="B3440" s="2" t="s">
        <v>1007</v>
      </c>
      <c r="C3440" s="5" t="s">
        <v>5686</v>
      </c>
      <c r="D3440" s="2" t="s">
        <v>3531</v>
      </c>
    </row>
    <row r="3441" spans="1:4" ht="12.95" customHeight="1" x14ac:dyDescent="0.25">
      <c r="A3441" s="2" t="s">
        <v>401</v>
      </c>
      <c r="B3441" s="2" t="s">
        <v>1007</v>
      </c>
      <c r="C3441" s="5" t="s">
        <v>5687</v>
      </c>
      <c r="D3441" s="2" t="s">
        <v>3348</v>
      </c>
    </row>
    <row r="3442" spans="1:4" ht="12.95" customHeight="1" x14ac:dyDescent="0.25">
      <c r="A3442" s="2" t="s">
        <v>401</v>
      </c>
      <c r="B3442" s="2" t="s">
        <v>1007</v>
      </c>
      <c r="C3442" s="5" t="s">
        <v>5688</v>
      </c>
      <c r="D3442" s="2" t="s">
        <v>5689</v>
      </c>
    </row>
    <row r="3443" spans="1:4" ht="12.95" customHeight="1" x14ac:dyDescent="0.25">
      <c r="A3443" s="2" t="s">
        <v>401</v>
      </c>
      <c r="B3443" s="2" t="s">
        <v>1007</v>
      </c>
      <c r="C3443" s="5" t="s">
        <v>5690</v>
      </c>
      <c r="D3443" s="2" t="s">
        <v>5691</v>
      </c>
    </row>
    <row r="3444" spans="1:4" ht="12.95" customHeight="1" x14ac:dyDescent="0.25">
      <c r="A3444" s="2" t="s">
        <v>401</v>
      </c>
      <c r="B3444" s="2" t="s">
        <v>1007</v>
      </c>
      <c r="C3444" s="5" t="s">
        <v>5692</v>
      </c>
      <c r="D3444" s="2" t="s">
        <v>5693</v>
      </c>
    </row>
    <row r="3445" spans="1:4" ht="12.95" customHeight="1" x14ac:dyDescent="0.25">
      <c r="A3445" s="2" t="s">
        <v>401</v>
      </c>
      <c r="B3445" s="2" t="s">
        <v>1007</v>
      </c>
      <c r="C3445" s="5" t="s">
        <v>5694</v>
      </c>
      <c r="D3445" s="2" t="s">
        <v>3312</v>
      </c>
    </row>
    <row r="3446" spans="1:4" ht="12.95" customHeight="1" x14ac:dyDescent="0.25">
      <c r="A3446" s="2" t="s">
        <v>401</v>
      </c>
      <c r="B3446" s="2" t="s">
        <v>1007</v>
      </c>
      <c r="C3446" s="5" t="s">
        <v>5695</v>
      </c>
      <c r="D3446" s="2" t="s">
        <v>3314</v>
      </c>
    </row>
    <row r="3447" spans="1:4" ht="12.95" customHeight="1" x14ac:dyDescent="0.25">
      <c r="A3447" s="2" t="s">
        <v>401</v>
      </c>
      <c r="B3447" s="2" t="s">
        <v>1007</v>
      </c>
      <c r="C3447" s="5" t="s">
        <v>5696</v>
      </c>
      <c r="D3447" s="2" t="s">
        <v>3511</v>
      </c>
    </row>
    <row r="3448" spans="1:4" ht="12.95" customHeight="1" x14ac:dyDescent="0.25">
      <c r="A3448" s="2" t="s">
        <v>401</v>
      </c>
      <c r="B3448" s="2" t="s">
        <v>1007</v>
      </c>
      <c r="C3448" s="5" t="s">
        <v>5697</v>
      </c>
      <c r="D3448" s="2" t="s">
        <v>5698</v>
      </c>
    </row>
    <row r="3449" spans="1:4" ht="12.95" customHeight="1" x14ac:dyDescent="0.25">
      <c r="A3449" s="2" t="s">
        <v>401</v>
      </c>
      <c r="B3449" s="2" t="s">
        <v>1007</v>
      </c>
      <c r="C3449" s="5" t="s">
        <v>5699</v>
      </c>
      <c r="D3449" s="2" t="s">
        <v>3517</v>
      </c>
    </row>
    <row r="3450" spans="1:4" ht="12.95" customHeight="1" x14ac:dyDescent="0.25">
      <c r="A3450" s="2" t="s">
        <v>401</v>
      </c>
      <c r="B3450" s="2" t="s">
        <v>1007</v>
      </c>
      <c r="C3450" s="5" t="s">
        <v>5700</v>
      </c>
      <c r="D3450" s="2" t="s">
        <v>3519</v>
      </c>
    </row>
    <row r="3451" spans="1:4" ht="12.95" customHeight="1" x14ac:dyDescent="0.25">
      <c r="A3451" s="2" t="s">
        <v>401</v>
      </c>
      <c r="B3451" s="2" t="s">
        <v>1007</v>
      </c>
      <c r="C3451" s="5" t="s">
        <v>5701</v>
      </c>
      <c r="D3451" s="2" t="s">
        <v>3521</v>
      </c>
    </row>
    <row r="3452" spans="1:4" ht="12.95" customHeight="1" x14ac:dyDescent="0.25">
      <c r="A3452" s="2" t="s">
        <v>401</v>
      </c>
      <c r="B3452" s="2" t="s">
        <v>1007</v>
      </c>
      <c r="C3452" s="5" t="s">
        <v>5702</v>
      </c>
      <c r="D3452" s="2" t="s">
        <v>3712</v>
      </c>
    </row>
    <row r="3453" spans="1:4" ht="12.95" customHeight="1" x14ac:dyDescent="0.25">
      <c r="A3453" s="2" t="s">
        <v>401</v>
      </c>
      <c r="B3453" s="2" t="s">
        <v>1007</v>
      </c>
      <c r="C3453" s="5" t="s">
        <v>5703</v>
      </c>
      <c r="D3453" s="2" t="s">
        <v>3525</v>
      </c>
    </row>
    <row r="3454" spans="1:4" ht="12.95" customHeight="1" x14ac:dyDescent="0.25">
      <c r="A3454" s="2" t="s">
        <v>401</v>
      </c>
      <c r="B3454" s="2" t="s">
        <v>1007</v>
      </c>
      <c r="C3454" s="5" t="s">
        <v>5704</v>
      </c>
      <c r="D3454" s="2" t="s">
        <v>3340</v>
      </c>
    </row>
    <row r="3455" spans="1:4" ht="12.95" customHeight="1" x14ac:dyDescent="0.25">
      <c r="A3455" s="2" t="s">
        <v>401</v>
      </c>
      <c r="B3455" s="2" t="s">
        <v>1007</v>
      </c>
      <c r="C3455" s="5" t="s">
        <v>5705</v>
      </c>
      <c r="D3455" s="2" t="s">
        <v>3528</v>
      </c>
    </row>
    <row r="3456" spans="1:4" ht="12.95" customHeight="1" x14ac:dyDescent="0.25">
      <c r="A3456" s="2" t="s">
        <v>401</v>
      </c>
      <c r="B3456" s="2" t="s">
        <v>1007</v>
      </c>
      <c r="C3456" s="5" t="s">
        <v>5706</v>
      </c>
      <c r="D3456" s="2" t="s">
        <v>4671</v>
      </c>
    </row>
    <row r="3457" spans="1:4" ht="12.95" customHeight="1" x14ac:dyDescent="0.25">
      <c r="A3457" s="2" t="s">
        <v>401</v>
      </c>
      <c r="B3457" s="2" t="s">
        <v>1007</v>
      </c>
      <c r="C3457" s="5" t="s">
        <v>5707</v>
      </c>
      <c r="D3457" s="2" t="s">
        <v>3342</v>
      </c>
    </row>
    <row r="3458" spans="1:4" ht="12.95" customHeight="1" x14ac:dyDescent="0.25">
      <c r="A3458" s="2" t="s">
        <v>401</v>
      </c>
      <c r="B3458" s="2" t="s">
        <v>1007</v>
      </c>
      <c r="C3458" s="5" t="s">
        <v>5708</v>
      </c>
      <c r="D3458" s="2" t="s">
        <v>3717</v>
      </c>
    </row>
    <row r="3459" spans="1:4" ht="12.95" customHeight="1" x14ac:dyDescent="0.25">
      <c r="A3459" s="2" t="s">
        <v>401</v>
      </c>
      <c r="B3459" s="2" t="s">
        <v>1007</v>
      </c>
      <c r="C3459" s="5" t="s">
        <v>5709</v>
      </c>
      <c r="D3459" s="2" t="s">
        <v>3531</v>
      </c>
    </row>
    <row r="3460" spans="1:4" ht="12.95" customHeight="1" x14ac:dyDescent="0.25">
      <c r="A3460" s="2" t="s">
        <v>401</v>
      </c>
      <c r="B3460" s="2" t="s">
        <v>1007</v>
      </c>
      <c r="C3460" s="5" t="s">
        <v>5710</v>
      </c>
      <c r="D3460" s="2" t="s">
        <v>3533</v>
      </c>
    </row>
    <row r="3461" spans="1:4" ht="12.95" customHeight="1" x14ac:dyDescent="0.25">
      <c r="A3461" s="2" t="s">
        <v>401</v>
      </c>
      <c r="B3461" s="2" t="s">
        <v>1007</v>
      </c>
      <c r="C3461" s="5" t="s">
        <v>5711</v>
      </c>
      <c r="D3461" s="2" t="s">
        <v>5712</v>
      </c>
    </row>
    <row r="3462" spans="1:4" ht="12.95" customHeight="1" x14ac:dyDescent="0.25">
      <c r="A3462" s="2" t="s">
        <v>401</v>
      </c>
      <c r="B3462" s="2" t="s">
        <v>1007</v>
      </c>
      <c r="C3462" s="5" t="s">
        <v>5713</v>
      </c>
      <c r="D3462" s="2" t="s">
        <v>3511</v>
      </c>
    </row>
    <row r="3463" spans="1:4" ht="12.95" customHeight="1" x14ac:dyDescent="0.25">
      <c r="A3463" s="2" t="s">
        <v>401</v>
      </c>
      <c r="B3463" s="2" t="s">
        <v>1007</v>
      </c>
      <c r="C3463" s="5" t="s">
        <v>5714</v>
      </c>
      <c r="D3463" s="2" t="s">
        <v>3517</v>
      </c>
    </row>
    <row r="3464" spans="1:4" ht="12.95" customHeight="1" x14ac:dyDescent="0.25">
      <c r="A3464" s="2" t="s">
        <v>401</v>
      </c>
      <c r="B3464" s="2" t="s">
        <v>1007</v>
      </c>
      <c r="C3464" s="5" t="s">
        <v>5715</v>
      </c>
      <c r="D3464" s="2" t="s">
        <v>3519</v>
      </c>
    </row>
    <row r="3465" spans="1:4" ht="12.95" customHeight="1" x14ac:dyDescent="0.25">
      <c r="A3465" s="2" t="s">
        <v>401</v>
      </c>
      <c r="B3465" s="2" t="s">
        <v>1007</v>
      </c>
      <c r="C3465" s="5" t="s">
        <v>5716</v>
      </c>
      <c r="D3465" s="2" t="s">
        <v>3521</v>
      </c>
    </row>
    <row r="3466" spans="1:4" ht="12.95" customHeight="1" x14ac:dyDescent="0.25">
      <c r="A3466" s="2" t="s">
        <v>401</v>
      </c>
      <c r="B3466" s="2" t="s">
        <v>1007</v>
      </c>
      <c r="C3466" s="5" t="s">
        <v>5717</v>
      </c>
      <c r="D3466" s="2" t="s">
        <v>3712</v>
      </c>
    </row>
    <row r="3467" spans="1:4" ht="12.95" customHeight="1" x14ac:dyDescent="0.25">
      <c r="A3467" s="2" t="s">
        <v>401</v>
      </c>
      <c r="B3467" s="2" t="s">
        <v>1007</v>
      </c>
      <c r="C3467" s="5" t="s">
        <v>5718</v>
      </c>
      <c r="D3467" s="2" t="s">
        <v>3525</v>
      </c>
    </row>
    <row r="3468" spans="1:4" ht="12.95" customHeight="1" x14ac:dyDescent="0.25">
      <c r="A3468" s="2" t="s">
        <v>401</v>
      </c>
      <c r="B3468" s="2" t="s">
        <v>1007</v>
      </c>
      <c r="C3468" s="5" t="s">
        <v>5719</v>
      </c>
      <c r="D3468" s="2" t="s">
        <v>3340</v>
      </c>
    </row>
    <row r="3469" spans="1:4" ht="12.95" customHeight="1" x14ac:dyDescent="0.25">
      <c r="A3469" s="2" t="s">
        <v>401</v>
      </c>
      <c r="B3469" s="2" t="s">
        <v>1007</v>
      </c>
      <c r="C3469" s="5" t="s">
        <v>5720</v>
      </c>
      <c r="D3469" s="2" t="s">
        <v>3528</v>
      </c>
    </row>
    <row r="3470" spans="1:4" ht="12.95" customHeight="1" x14ac:dyDescent="0.25">
      <c r="A3470" s="2" t="s">
        <v>401</v>
      </c>
      <c r="B3470" s="2" t="s">
        <v>1007</v>
      </c>
      <c r="C3470" s="5" t="s">
        <v>5721</v>
      </c>
      <c r="D3470" s="2" t="s">
        <v>4671</v>
      </c>
    </row>
    <row r="3471" spans="1:4" ht="12.95" customHeight="1" x14ac:dyDescent="0.25">
      <c r="A3471" s="2" t="s">
        <v>401</v>
      </c>
      <c r="B3471" s="2" t="s">
        <v>1007</v>
      </c>
      <c r="C3471" s="5" t="s">
        <v>5722</v>
      </c>
      <c r="D3471" s="2" t="s">
        <v>3342</v>
      </c>
    </row>
    <row r="3472" spans="1:4" ht="12.95" customHeight="1" x14ac:dyDescent="0.25">
      <c r="A3472" s="2" t="s">
        <v>401</v>
      </c>
      <c r="B3472" s="2" t="s">
        <v>1007</v>
      </c>
      <c r="C3472" s="5" t="s">
        <v>5723</v>
      </c>
      <c r="D3472" s="2" t="s">
        <v>3717</v>
      </c>
    </row>
    <row r="3473" spans="1:4" ht="12.95" customHeight="1" x14ac:dyDescent="0.25">
      <c r="A3473" s="2" t="s">
        <v>401</v>
      </c>
      <c r="B3473" s="2" t="s">
        <v>1007</v>
      </c>
      <c r="C3473" s="5" t="s">
        <v>5724</v>
      </c>
      <c r="D3473" s="2" t="s">
        <v>4676</v>
      </c>
    </row>
    <row r="3474" spans="1:4" ht="12.95" customHeight="1" x14ac:dyDescent="0.25">
      <c r="A3474" s="2" t="s">
        <v>401</v>
      </c>
      <c r="B3474" s="2" t="s">
        <v>1007</v>
      </c>
      <c r="C3474" s="5" t="s">
        <v>5725</v>
      </c>
      <c r="D3474" s="2" t="s">
        <v>3533</v>
      </c>
    </row>
    <row r="3475" spans="1:4" ht="12.95" customHeight="1" x14ac:dyDescent="0.25">
      <c r="A3475" s="2" t="s">
        <v>401</v>
      </c>
      <c r="B3475" s="2" t="s">
        <v>1007</v>
      </c>
      <c r="C3475" s="5" t="s">
        <v>5726</v>
      </c>
      <c r="D3475" s="2" t="s">
        <v>5727</v>
      </c>
    </row>
    <row r="3476" spans="1:4" ht="12.95" customHeight="1" x14ac:dyDescent="0.25">
      <c r="A3476" s="2" t="s">
        <v>401</v>
      </c>
      <c r="B3476" s="2" t="s">
        <v>1007</v>
      </c>
      <c r="C3476" s="5" t="s">
        <v>5728</v>
      </c>
      <c r="D3476" s="2" t="s">
        <v>5729</v>
      </c>
    </row>
    <row r="3477" spans="1:4" ht="12.95" customHeight="1" x14ac:dyDescent="0.25">
      <c r="A3477" s="2" t="s">
        <v>401</v>
      </c>
      <c r="B3477" s="2" t="s">
        <v>1007</v>
      </c>
      <c r="C3477" s="5" t="s">
        <v>5730</v>
      </c>
      <c r="D3477" s="2" t="s">
        <v>5731</v>
      </c>
    </row>
    <row r="3478" spans="1:4" ht="12.95" customHeight="1" x14ac:dyDescent="0.25">
      <c r="A3478" s="2" t="s">
        <v>401</v>
      </c>
      <c r="B3478" s="2" t="s">
        <v>1007</v>
      </c>
      <c r="C3478" s="5" t="s">
        <v>5732</v>
      </c>
      <c r="D3478" s="2" t="s">
        <v>5733</v>
      </c>
    </row>
    <row r="3479" spans="1:4" ht="12.95" customHeight="1" x14ac:dyDescent="0.25">
      <c r="A3479" s="2" t="s">
        <v>401</v>
      </c>
      <c r="B3479" s="2" t="s">
        <v>1007</v>
      </c>
      <c r="C3479" s="5" t="s">
        <v>5734</v>
      </c>
      <c r="D3479" s="2" t="s">
        <v>5075</v>
      </c>
    </row>
    <row r="3480" spans="1:4" ht="12.95" customHeight="1" x14ac:dyDescent="0.25">
      <c r="A3480" s="2" t="s">
        <v>401</v>
      </c>
      <c r="B3480" s="2" t="s">
        <v>1007</v>
      </c>
      <c r="C3480" s="5" t="s">
        <v>5735</v>
      </c>
      <c r="D3480" s="2" t="s">
        <v>5261</v>
      </c>
    </row>
    <row r="3481" spans="1:4" ht="12.95" customHeight="1" x14ac:dyDescent="0.25">
      <c r="A3481" s="2" t="s">
        <v>401</v>
      </c>
      <c r="B3481" s="2" t="s">
        <v>1007</v>
      </c>
      <c r="C3481" s="5" t="s">
        <v>5736</v>
      </c>
      <c r="D3481" s="2" t="s">
        <v>3314</v>
      </c>
    </row>
    <row r="3482" spans="1:4" ht="12.95" customHeight="1" x14ac:dyDescent="0.25">
      <c r="A3482" s="2" t="s">
        <v>401</v>
      </c>
      <c r="B3482" s="2" t="s">
        <v>1007</v>
      </c>
      <c r="C3482" s="5" t="s">
        <v>5737</v>
      </c>
      <c r="D3482" s="2" t="s">
        <v>3511</v>
      </c>
    </row>
    <row r="3483" spans="1:4" ht="12.95" customHeight="1" x14ac:dyDescent="0.25">
      <c r="A3483" s="2" t="s">
        <v>401</v>
      </c>
      <c r="B3483" s="2" t="s">
        <v>1007</v>
      </c>
      <c r="C3483" s="5" t="s">
        <v>5738</v>
      </c>
      <c r="D3483" s="2" t="s">
        <v>3517</v>
      </c>
    </row>
    <row r="3484" spans="1:4" ht="12.95" customHeight="1" x14ac:dyDescent="0.25">
      <c r="A3484" s="2" t="s">
        <v>401</v>
      </c>
      <c r="B3484" s="2" t="s">
        <v>1007</v>
      </c>
      <c r="C3484" s="5" t="s">
        <v>5739</v>
      </c>
      <c r="D3484" s="2" t="s">
        <v>3519</v>
      </c>
    </row>
    <row r="3485" spans="1:4" ht="12.95" customHeight="1" x14ac:dyDescent="0.25">
      <c r="A3485" s="2" t="s">
        <v>401</v>
      </c>
      <c r="B3485" s="2" t="s">
        <v>1007</v>
      </c>
      <c r="C3485" s="5" t="s">
        <v>5740</v>
      </c>
      <c r="D3485" s="2" t="s">
        <v>3521</v>
      </c>
    </row>
    <row r="3486" spans="1:4" ht="12.95" customHeight="1" x14ac:dyDescent="0.25">
      <c r="A3486" s="2" t="s">
        <v>401</v>
      </c>
      <c r="B3486" s="2" t="s">
        <v>1007</v>
      </c>
      <c r="C3486" s="5" t="s">
        <v>5741</v>
      </c>
      <c r="D3486" s="2" t="s">
        <v>3712</v>
      </c>
    </row>
    <row r="3487" spans="1:4" ht="12.95" customHeight="1" x14ac:dyDescent="0.25">
      <c r="A3487" s="2" t="s">
        <v>401</v>
      </c>
      <c r="B3487" s="2" t="s">
        <v>1007</v>
      </c>
      <c r="C3487" s="5" t="s">
        <v>5742</v>
      </c>
      <c r="D3487" s="2" t="s">
        <v>3525</v>
      </c>
    </row>
    <row r="3488" spans="1:4" ht="12.95" customHeight="1" x14ac:dyDescent="0.25">
      <c r="A3488" s="2" t="s">
        <v>401</v>
      </c>
      <c r="B3488" s="2" t="s">
        <v>1007</v>
      </c>
      <c r="C3488" s="5" t="s">
        <v>5743</v>
      </c>
      <c r="D3488" s="2" t="s">
        <v>5744</v>
      </c>
    </row>
    <row r="3489" spans="1:4" ht="12.95" customHeight="1" x14ac:dyDescent="0.25">
      <c r="A3489" s="2" t="s">
        <v>401</v>
      </c>
      <c r="B3489" s="2" t="s">
        <v>1007</v>
      </c>
      <c r="C3489" s="5" t="s">
        <v>5745</v>
      </c>
      <c r="D3489" s="2" t="s">
        <v>3528</v>
      </c>
    </row>
    <row r="3490" spans="1:4" ht="12.95" customHeight="1" x14ac:dyDescent="0.25">
      <c r="A3490" s="2" t="s">
        <v>401</v>
      </c>
      <c r="B3490" s="2" t="s">
        <v>1007</v>
      </c>
      <c r="C3490" s="5" t="s">
        <v>5746</v>
      </c>
      <c r="D3490" s="2" t="s">
        <v>4671</v>
      </c>
    </row>
    <row r="3491" spans="1:4" ht="12.95" customHeight="1" x14ac:dyDescent="0.25">
      <c r="A3491" s="2" t="s">
        <v>401</v>
      </c>
      <c r="B3491" s="2" t="s">
        <v>1007</v>
      </c>
      <c r="C3491" s="5" t="s">
        <v>5747</v>
      </c>
      <c r="D3491" s="2" t="s">
        <v>3342</v>
      </c>
    </row>
    <row r="3492" spans="1:4" ht="12.95" customHeight="1" x14ac:dyDescent="0.25">
      <c r="A3492" s="2" t="s">
        <v>401</v>
      </c>
      <c r="B3492" s="2" t="s">
        <v>1007</v>
      </c>
      <c r="C3492" s="5" t="s">
        <v>5748</v>
      </c>
      <c r="D3492" s="2" t="s">
        <v>3717</v>
      </c>
    </row>
    <row r="3493" spans="1:4" ht="12.95" customHeight="1" x14ac:dyDescent="0.25">
      <c r="A3493" s="2" t="s">
        <v>401</v>
      </c>
      <c r="B3493" s="2" t="s">
        <v>1007</v>
      </c>
      <c r="C3493" s="5" t="s">
        <v>5749</v>
      </c>
      <c r="D3493" s="2" t="s">
        <v>3531</v>
      </c>
    </row>
    <row r="3494" spans="1:4" ht="12.95" customHeight="1" x14ac:dyDescent="0.25">
      <c r="A3494" s="2" t="s">
        <v>401</v>
      </c>
      <c r="B3494" s="2" t="s">
        <v>1007</v>
      </c>
      <c r="C3494" s="5" t="s">
        <v>5750</v>
      </c>
      <c r="D3494" s="2" t="s">
        <v>3533</v>
      </c>
    </row>
    <row r="3495" spans="1:4" ht="12.95" customHeight="1" x14ac:dyDescent="0.25">
      <c r="A3495" s="2" t="s">
        <v>401</v>
      </c>
      <c r="B3495" s="2" t="s">
        <v>1007</v>
      </c>
      <c r="C3495" s="5" t="s">
        <v>5751</v>
      </c>
      <c r="D3495" s="2" t="s">
        <v>5752</v>
      </c>
    </row>
    <row r="3496" spans="1:4" ht="12.95" customHeight="1" x14ac:dyDescent="0.25">
      <c r="A3496" s="2" t="s">
        <v>401</v>
      </c>
      <c r="B3496" s="2" t="s">
        <v>1007</v>
      </c>
      <c r="C3496" s="5" t="s">
        <v>5753</v>
      </c>
      <c r="D3496" s="2" t="s">
        <v>3511</v>
      </c>
    </row>
    <row r="3497" spans="1:4" ht="12.95" customHeight="1" x14ac:dyDescent="0.25">
      <c r="A3497" s="2" t="s">
        <v>401</v>
      </c>
      <c r="B3497" s="2" t="s">
        <v>1007</v>
      </c>
      <c r="C3497" s="5" t="s">
        <v>5754</v>
      </c>
      <c r="D3497" s="2" t="s">
        <v>3517</v>
      </c>
    </row>
    <row r="3498" spans="1:4" ht="12.95" customHeight="1" x14ac:dyDescent="0.25">
      <c r="A3498" s="2" t="s">
        <v>401</v>
      </c>
      <c r="B3498" s="2" t="s">
        <v>1007</v>
      </c>
      <c r="C3498" s="5" t="s">
        <v>5755</v>
      </c>
      <c r="D3498" s="2" t="s">
        <v>3519</v>
      </c>
    </row>
    <row r="3499" spans="1:4" ht="12.95" customHeight="1" x14ac:dyDescent="0.25">
      <c r="A3499" s="2" t="s">
        <v>401</v>
      </c>
      <c r="B3499" s="2" t="s">
        <v>1007</v>
      </c>
      <c r="C3499" s="5" t="s">
        <v>5756</v>
      </c>
      <c r="D3499" s="2" t="s">
        <v>3521</v>
      </c>
    </row>
    <row r="3500" spans="1:4" ht="12.95" customHeight="1" x14ac:dyDescent="0.25">
      <c r="A3500" s="2" t="s">
        <v>401</v>
      </c>
      <c r="B3500" s="2" t="s">
        <v>1007</v>
      </c>
      <c r="C3500" s="5" t="s">
        <v>5757</v>
      </c>
      <c r="D3500" s="2" t="s">
        <v>3712</v>
      </c>
    </row>
    <row r="3501" spans="1:4" ht="12.95" customHeight="1" x14ac:dyDescent="0.25">
      <c r="A3501" s="2" t="s">
        <v>401</v>
      </c>
      <c r="B3501" s="2" t="s">
        <v>1007</v>
      </c>
      <c r="C3501" s="5" t="s">
        <v>5758</v>
      </c>
      <c r="D3501" s="2" t="s">
        <v>3525</v>
      </c>
    </row>
    <row r="3502" spans="1:4" ht="12.95" customHeight="1" x14ac:dyDescent="0.25">
      <c r="A3502" s="2" t="s">
        <v>401</v>
      </c>
      <c r="B3502" s="2" t="s">
        <v>1007</v>
      </c>
      <c r="C3502" s="5" t="s">
        <v>5759</v>
      </c>
      <c r="D3502" s="2" t="s">
        <v>3340</v>
      </c>
    </row>
    <row r="3503" spans="1:4" ht="12.95" customHeight="1" x14ac:dyDescent="0.25">
      <c r="A3503" s="2" t="s">
        <v>401</v>
      </c>
      <c r="B3503" s="2" t="s">
        <v>1007</v>
      </c>
      <c r="C3503" s="5" t="s">
        <v>5760</v>
      </c>
      <c r="D3503" s="2" t="s">
        <v>3528</v>
      </c>
    </row>
    <row r="3504" spans="1:4" ht="12.95" customHeight="1" x14ac:dyDescent="0.25">
      <c r="A3504" s="2" t="s">
        <v>401</v>
      </c>
      <c r="B3504" s="2" t="s">
        <v>1007</v>
      </c>
      <c r="C3504" s="5" t="s">
        <v>5761</v>
      </c>
      <c r="D3504" s="2" t="s">
        <v>4671</v>
      </c>
    </row>
    <row r="3505" spans="1:4" ht="12.95" customHeight="1" x14ac:dyDescent="0.25">
      <c r="A3505" s="2" t="s">
        <v>401</v>
      </c>
      <c r="B3505" s="2" t="s">
        <v>1007</v>
      </c>
      <c r="C3505" s="5" t="s">
        <v>5762</v>
      </c>
      <c r="D3505" s="2" t="s">
        <v>3342</v>
      </c>
    </row>
    <row r="3506" spans="1:4" ht="12.95" customHeight="1" x14ac:dyDescent="0.25">
      <c r="A3506" s="2" t="s">
        <v>401</v>
      </c>
      <c r="B3506" s="2" t="s">
        <v>1007</v>
      </c>
      <c r="C3506" s="5" t="s">
        <v>5763</v>
      </c>
      <c r="D3506" s="2" t="s">
        <v>3717</v>
      </c>
    </row>
    <row r="3507" spans="1:4" ht="12.95" customHeight="1" x14ac:dyDescent="0.25">
      <c r="A3507" s="2" t="s">
        <v>401</v>
      </c>
      <c r="B3507" s="2" t="s">
        <v>1007</v>
      </c>
      <c r="C3507" s="5" t="s">
        <v>5764</v>
      </c>
      <c r="D3507" s="2" t="s">
        <v>4676</v>
      </c>
    </row>
    <row r="3508" spans="1:4" ht="12.95" customHeight="1" x14ac:dyDescent="0.25">
      <c r="A3508" s="2" t="s">
        <v>401</v>
      </c>
      <c r="B3508" s="2" t="s">
        <v>1007</v>
      </c>
      <c r="C3508" s="5" t="s">
        <v>5765</v>
      </c>
      <c r="D3508" s="2" t="s">
        <v>3533</v>
      </c>
    </row>
    <row r="3509" spans="1:4" ht="12.95" customHeight="1" x14ac:dyDescent="0.25">
      <c r="A3509" s="2" t="s">
        <v>401</v>
      </c>
      <c r="B3509" s="2" t="s">
        <v>1007</v>
      </c>
      <c r="C3509" s="5" t="s">
        <v>5766</v>
      </c>
      <c r="D3509" s="2" t="s">
        <v>5767</v>
      </c>
    </row>
    <row r="3510" spans="1:4" ht="12.95" customHeight="1" x14ac:dyDescent="0.25">
      <c r="A3510" s="2" t="s">
        <v>401</v>
      </c>
      <c r="B3510" s="2" t="s">
        <v>1007</v>
      </c>
      <c r="C3510" s="5" t="s">
        <v>5768</v>
      </c>
      <c r="D3510" s="2" t="s">
        <v>3511</v>
      </c>
    </row>
    <row r="3511" spans="1:4" ht="12.95" customHeight="1" x14ac:dyDescent="0.25">
      <c r="A3511" s="2" t="s">
        <v>401</v>
      </c>
      <c r="B3511" s="2" t="s">
        <v>1007</v>
      </c>
      <c r="C3511" s="5" t="s">
        <v>5769</v>
      </c>
      <c r="D3511" s="2" t="s">
        <v>3517</v>
      </c>
    </row>
    <row r="3512" spans="1:4" ht="12.95" customHeight="1" x14ac:dyDescent="0.25">
      <c r="A3512" s="2" t="s">
        <v>401</v>
      </c>
      <c r="B3512" s="2" t="s">
        <v>1007</v>
      </c>
      <c r="C3512" s="5" t="s">
        <v>5770</v>
      </c>
      <c r="D3512" s="2" t="s">
        <v>3519</v>
      </c>
    </row>
    <row r="3513" spans="1:4" ht="12.95" customHeight="1" x14ac:dyDescent="0.25">
      <c r="A3513" s="2" t="s">
        <v>401</v>
      </c>
      <c r="B3513" s="2" t="s">
        <v>1007</v>
      </c>
      <c r="C3513" s="5" t="s">
        <v>5771</v>
      </c>
      <c r="D3513" s="2" t="s">
        <v>3521</v>
      </c>
    </row>
    <row r="3514" spans="1:4" ht="12.95" customHeight="1" x14ac:dyDescent="0.25">
      <c r="A3514" s="2" t="s">
        <v>401</v>
      </c>
      <c r="B3514" s="2" t="s">
        <v>1007</v>
      </c>
      <c r="C3514" s="5" t="s">
        <v>5772</v>
      </c>
      <c r="D3514" s="2" t="s">
        <v>3712</v>
      </c>
    </row>
    <row r="3515" spans="1:4" ht="12.95" customHeight="1" x14ac:dyDescent="0.25">
      <c r="A3515" s="2" t="s">
        <v>401</v>
      </c>
      <c r="B3515" s="2" t="s">
        <v>1007</v>
      </c>
      <c r="C3515" s="5" t="s">
        <v>5773</v>
      </c>
      <c r="D3515" s="2" t="s">
        <v>3525</v>
      </c>
    </row>
    <row r="3516" spans="1:4" ht="12.95" customHeight="1" x14ac:dyDescent="0.25">
      <c r="A3516" s="2" t="s">
        <v>401</v>
      </c>
      <c r="B3516" s="2" t="s">
        <v>1007</v>
      </c>
      <c r="C3516" s="5" t="s">
        <v>5774</v>
      </c>
      <c r="D3516" s="2" t="s">
        <v>3340</v>
      </c>
    </row>
    <row r="3517" spans="1:4" ht="12.95" customHeight="1" x14ac:dyDescent="0.25">
      <c r="A3517" s="2" t="s">
        <v>401</v>
      </c>
      <c r="B3517" s="2" t="s">
        <v>1007</v>
      </c>
      <c r="C3517" s="5" t="s">
        <v>5775</v>
      </c>
      <c r="D3517" s="2" t="s">
        <v>3528</v>
      </c>
    </row>
    <row r="3518" spans="1:4" ht="12.95" customHeight="1" x14ac:dyDescent="0.25">
      <c r="A3518" s="2" t="s">
        <v>401</v>
      </c>
      <c r="B3518" s="2" t="s">
        <v>1007</v>
      </c>
      <c r="C3518" s="5" t="s">
        <v>5776</v>
      </c>
      <c r="D3518" s="2" t="s">
        <v>4671</v>
      </c>
    </row>
    <row r="3519" spans="1:4" ht="12.95" customHeight="1" x14ac:dyDescent="0.25">
      <c r="A3519" s="2" t="s">
        <v>401</v>
      </c>
      <c r="B3519" s="2" t="s">
        <v>1007</v>
      </c>
      <c r="C3519" s="5" t="s">
        <v>5777</v>
      </c>
      <c r="D3519" s="2" t="s">
        <v>3342</v>
      </c>
    </row>
    <row r="3520" spans="1:4" ht="12.95" customHeight="1" x14ac:dyDescent="0.25">
      <c r="A3520" s="2" t="s">
        <v>401</v>
      </c>
      <c r="B3520" s="2" t="s">
        <v>1007</v>
      </c>
      <c r="C3520" s="5" t="s">
        <v>5778</v>
      </c>
      <c r="D3520" s="2" t="s">
        <v>3717</v>
      </c>
    </row>
    <row r="3521" spans="1:4" ht="12.95" customHeight="1" x14ac:dyDescent="0.25">
      <c r="A3521" s="2" t="s">
        <v>401</v>
      </c>
      <c r="B3521" s="2" t="s">
        <v>1007</v>
      </c>
      <c r="C3521" s="5" t="s">
        <v>5779</v>
      </c>
      <c r="D3521" s="2" t="s">
        <v>4676</v>
      </c>
    </row>
    <row r="3522" spans="1:4" ht="12.95" customHeight="1" x14ac:dyDescent="0.25">
      <c r="A3522" s="2" t="s">
        <v>401</v>
      </c>
      <c r="B3522" s="2" t="s">
        <v>1007</v>
      </c>
      <c r="C3522" s="5" t="s">
        <v>5780</v>
      </c>
      <c r="D3522" s="2" t="s">
        <v>3533</v>
      </c>
    </row>
    <row r="3523" spans="1:4" ht="12.95" customHeight="1" x14ac:dyDescent="0.25">
      <c r="A3523" s="2" t="s">
        <v>401</v>
      </c>
      <c r="B3523" s="2" t="s">
        <v>1007</v>
      </c>
      <c r="C3523" s="5" t="s">
        <v>5781</v>
      </c>
      <c r="D3523" s="2" t="s">
        <v>5782</v>
      </c>
    </row>
    <row r="3524" spans="1:4" ht="12.95" customHeight="1" x14ac:dyDescent="0.25">
      <c r="A3524" s="2" t="s">
        <v>401</v>
      </c>
      <c r="B3524" s="2" t="s">
        <v>1007</v>
      </c>
      <c r="C3524" s="5" t="s">
        <v>5783</v>
      </c>
      <c r="D3524" s="2" t="s">
        <v>3511</v>
      </c>
    </row>
    <row r="3525" spans="1:4" ht="12.95" customHeight="1" x14ac:dyDescent="0.25">
      <c r="A3525" s="2" t="s">
        <v>401</v>
      </c>
      <c r="B3525" s="2" t="s">
        <v>1007</v>
      </c>
      <c r="C3525" s="5" t="s">
        <v>5784</v>
      </c>
      <c r="D3525" s="2" t="s">
        <v>3517</v>
      </c>
    </row>
    <row r="3526" spans="1:4" ht="12.95" customHeight="1" x14ac:dyDescent="0.25">
      <c r="A3526" s="2" t="s">
        <v>401</v>
      </c>
      <c r="B3526" s="2" t="s">
        <v>1007</v>
      </c>
      <c r="C3526" s="5" t="s">
        <v>5785</v>
      </c>
      <c r="D3526" s="2" t="s">
        <v>3519</v>
      </c>
    </row>
    <row r="3527" spans="1:4" ht="12.95" customHeight="1" x14ac:dyDescent="0.25">
      <c r="A3527" s="2" t="s">
        <v>401</v>
      </c>
      <c r="B3527" s="2" t="s">
        <v>1007</v>
      </c>
      <c r="C3527" s="5" t="s">
        <v>5786</v>
      </c>
      <c r="D3527" s="2" t="s">
        <v>3521</v>
      </c>
    </row>
    <row r="3528" spans="1:4" ht="12.95" customHeight="1" x14ac:dyDescent="0.25">
      <c r="A3528" s="2" t="s">
        <v>401</v>
      </c>
      <c r="B3528" s="2" t="s">
        <v>1007</v>
      </c>
      <c r="C3528" s="5" t="s">
        <v>5787</v>
      </c>
      <c r="D3528" s="2" t="s">
        <v>3712</v>
      </c>
    </row>
    <row r="3529" spans="1:4" ht="12.95" customHeight="1" x14ac:dyDescent="0.25">
      <c r="A3529" s="2" t="s">
        <v>401</v>
      </c>
      <c r="B3529" s="2" t="s">
        <v>1007</v>
      </c>
      <c r="C3529" s="5" t="s">
        <v>5788</v>
      </c>
      <c r="D3529" s="2" t="s">
        <v>3525</v>
      </c>
    </row>
    <row r="3530" spans="1:4" ht="12.95" customHeight="1" x14ac:dyDescent="0.25">
      <c r="A3530" s="2" t="s">
        <v>401</v>
      </c>
      <c r="B3530" s="2" t="s">
        <v>1007</v>
      </c>
      <c r="C3530" s="5" t="s">
        <v>5789</v>
      </c>
      <c r="D3530" s="2" t="s">
        <v>3340</v>
      </c>
    </row>
    <row r="3531" spans="1:4" ht="12.95" customHeight="1" x14ac:dyDescent="0.25">
      <c r="A3531" s="2" t="s">
        <v>401</v>
      </c>
      <c r="B3531" s="2" t="s">
        <v>1007</v>
      </c>
      <c r="C3531" s="5" t="s">
        <v>5790</v>
      </c>
      <c r="D3531" s="2" t="s">
        <v>3528</v>
      </c>
    </row>
    <row r="3532" spans="1:4" ht="12.95" customHeight="1" x14ac:dyDescent="0.25">
      <c r="A3532" s="2" t="s">
        <v>401</v>
      </c>
      <c r="B3532" s="2" t="s">
        <v>1007</v>
      </c>
      <c r="C3532" s="5" t="s">
        <v>5791</v>
      </c>
      <c r="D3532" s="2" t="s">
        <v>4671</v>
      </c>
    </row>
    <row r="3533" spans="1:4" ht="12.95" customHeight="1" x14ac:dyDescent="0.25">
      <c r="A3533" s="2" t="s">
        <v>401</v>
      </c>
      <c r="B3533" s="2" t="s">
        <v>1007</v>
      </c>
      <c r="C3533" s="5" t="s">
        <v>5792</v>
      </c>
      <c r="D3533" s="2" t="s">
        <v>3342</v>
      </c>
    </row>
    <row r="3534" spans="1:4" ht="12.95" customHeight="1" x14ac:dyDescent="0.25">
      <c r="A3534" s="2" t="s">
        <v>401</v>
      </c>
      <c r="B3534" s="2" t="s">
        <v>1007</v>
      </c>
      <c r="C3534" s="5" t="s">
        <v>5793</v>
      </c>
      <c r="D3534" s="2" t="s">
        <v>3717</v>
      </c>
    </row>
    <row r="3535" spans="1:4" ht="12.95" customHeight="1" x14ac:dyDescent="0.25">
      <c r="A3535" s="2" t="s">
        <v>401</v>
      </c>
      <c r="B3535" s="2" t="s">
        <v>1007</v>
      </c>
      <c r="C3535" s="5" t="s">
        <v>5794</v>
      </c>
      <c r="D3535" s="2" t="s">
        <v>4676</v>
      </c>
    </row>
    <row r="3536" spans="1:4" ht="12.95" customHeight="1" x14ac:dyDescent="0.25">
      <c r="A3536" s="2" t="s">
        <v>401</v>
      </c>
      <c r="B3536" s="2" t="s">
        <v>1007</v>
      </c>
      <c r="C3536" s="5" t="s">
        <v>5795</v>
      </c>
      <c r="D3536" s="2" t="s">
        <v>3533</v>
      </c>
    </row>
    <row r="3537" spans="1:4" ht="12.95" customHeight="1" x14ac:dyDescent="0.25">
      <c r="A3537" s="2" t="s">
        <v>401</v>
      </c>
      <c r="B3537" s="2" t="s">
        <v>1007</v>
      </c>
      <c r="C3537" s="5" t="s">
        <v>5796</v>
      </c>
      <c r="D3537" s="2" t="s">
        <v>5797</v>
      </c>
    </row>
    <row r="3538" spans="1:4" ht="12.95" customHeight="1" x14ac:dyDescent="0.25">
      <c r="A3538" s="2" t="s">
        <v>401</v>
      </c>
      <c r="B3538" s="2" t="s">
        <v>1007</v>
      </c>
      <c r="C3538" s="5" t="s">
        <v>5798</v>
      </c>
      <c r="D3538" s="2" t="s">
        <v>3511</v>
      </c>
    </row>
    <row r="3539" spans="1:4" ht="12.95" customHeight="1" x14ac:dyDescent="0.25">
      <c r="A3539" s="2" t="s">
        <v>401</v>
      </c>
      <c r="B3539" s="2" t="s">
        <v>1007</v>
      </c>
      <c r="C3539" s="5" t="s">
        <v>5799</v>
      </c>
      <c r="D3539" s="2" t="s">
        <v>3517</v>
      </c>
    </row>
    <row r="3540" spans="1:4" ht="12.95" customHeight="1" x14ac:dyDescent="0.25">
      <c r="A3540" s="2" t="s">
        <v>401</v>
      </c>
      <c r="B3540" s="2" t="s">
        <v>1007</v>
      </c>
      <c r="C3540" s="5" t="s">
        <v>5800</v>
      </c>
      <c r="D3540" s="2" t="s">
        <v>3519</v>
      </c>
    </row>
    <row r="3541" spans="1:4" ht="12.95" customHeight="1" x14ac:dyDescent="0.25">
      <c r="A3541" s="2" t="s">
        <v>401</v>
      </c>
      <c r="B3541" s="2" t="s">
        <v>1007</v>
      </c>
      <c r="C3541" s="5" t="s">
        <v>5801</v>
      </c>
      <c r="D3541" s="2" t="s">
        <v>3521</v>
      </c>
    </row>
    <row r="3542" spans="1:4" ht="12.95" customHeight="1" x14ac:dyDescent="0.25">
      <c r="A3542" s="2" t="s">
        <v>401</v>
      </c>
      <c r="B3542" s="2" t="s">
        <v>1007</v>
      </c>
      <c r="C3542" s="5" t="s">
        <v>5802</v>
      </c>
      <c r="D3542" s="2" t="s">
        <v>3712</v>
      </c>
    </row>
    <row r="3543" spans="1:4" ht="12.95" customHeight="1" x14ac:dyDescent="0.25">
      <c r="A3543" s="2" t="s">
        <v>401</v>
      </c>
      <c r="B3543" s="2" t="s">
        <v>1007</v>
      </c>
      <c r="C3543" s="5" t="s">
        <v>5803</v>
      </c>
      <c r="D3543" s="2" t="s">
        <v>3525</v>
      </c>
    </row>
    <row r="3544" spans="1:4" ht="12.95" customHeight="1" x14ac:dyDescent="0.25">
      <c r="A3544" s="2" t="s">
        <v>401</v>
      </c>
      <c r="B3544" s="2" t="s">
        <v>1007</v>
      </c>
      <c r="C3544" s="5" t="s">
        <v>5804</v>
      </c>
      <c r="D3544" s="2" t="s">
        <v>3340</v>
      </c>
    </row>
    <row r="3545" spans="1:4" ht="12.95" customHeight="1" x14ac:dyDescent="0.25">
      <c r="A3545" s="2" t="s">
        <v>401</v>
      </c>
      <c r="B3545" s="2" t="s">
        <v>1007</v>
      </c>
      <c r="C3545" s="5" t="s">
        <v>5805</v>
      </c>
      <c r="D3545" s="2" t="s">
        <v>3528</v>
      </c>
    </row>
    <row r="3546" spans="1:4" ht="12.95" customHeight="1" x14ac:dyDescent="0.25">
      <c r="A3546" s="2" t="s">
        <v>401</v>
      </c>
      <c r="B3546" s="2" t="s">
        <v>1007</v>
      </c>
      <c r="C3546" s="5" t="s">
        <v>5806</v>
      </c>
      <c r="D3546" s="2" t="s">
        <v>4671</v>
      </c>
    </row>
    <row r="3547" spans="1:4" ht="12.95" customHeight="1" x14ac:dyDescent="0.25">
      <c r="A3547" s="2" t="s">
        <v>401</v>
      </c>
      <c r="B3547" s="2" t="s">
        <v>1007</v>
      </c>
      <c r="C3547" s="5" t="s">
        <v>5807</v>
      </c>
      <c r="D3547" s="2" t="s">
        <v>3342</v>
      </c>
    </row>
    <row r="3548" spans="1:4" ht="12.95" customHeight="1" x14ac:dyDescent="0.25">
      <c r="A3548" s="2" t="s">
        <v>401</v>
      </c>
      <c r="B3548" s="2" t="s">
        <v>1007</v>
      </c>
      <c r="C3548" s="5" t="s">
        <v>5808</v>
      </c>
      <c r="D3548" s="2" t="s">
        <v>3344</v>
      </c>
    </row>
    <row r="3549" spans="1:4" ht="12.95" customHeight="1" x14ac:dyDescent="0.25">
      <c r="A3549" s="2" t="s">
        <v>401</v>
      </c>
      <c r="B3549" s="2" t="s">
        <v>1007</v>
      </c>
      <c r="C3549" s="5" t="s">
        <v>5809</v>
      </c>
      <c r="D3549" s="2" t="s">
        <v>3531</v>
      </c>
    </row>
    <row r="3550" spans="1:4" ht="12.95" customHeight="1" x14ac:dyDescent="0.25">
      <c r="A3550" s="2" t="s">
        <v>401</v>
      </c>
      <c r="B3550" s="2" t="s">
        <v>1007</v>
      </c>
      <c r="C3550" s="5" t="s">
        <v>5810</v>
      </c>
      <c r="D3550" s="2" t="s">
        <v>3348</v>
      </c>
    </row>
    <row r="3551" spans="1:4" ht="12.95" customHeight="1" x14ac:dyDescent="0.25">
      <c r="A3551" s="2" t="s">
        <v>401</v>
      </c>
      <c r="B3551" s="2" t="s">
        <v>1007</v>
      </c>
      <c r="C3551" s="5" t="s">
        <v>5811</v>
      </c>
      <c r="D3551" s="2" t="s">
        <v>5812</v>
      </c>
    </row>
    <row r="3552" spans="1:4" ht="12.95" customHeight="1" x14ac:dyDescent="0.25">
      <c r="A3552" s="2" t="s">
        <v>401</v>
      </c>
      <c r="B3552" s="2" t="s">
        <v>1007</v>
      </c>
      <c r="C3552" s="5" t="s">
        <v>5813</v>
      </c>
      <c r="D3552" s="2" t="s">
        <v>3511</v>
      </c>
    </row>
    <row r="3553" spans="1:4" ht="12.95" customHeight="1" x14ac:dyDescent="0.25">
      <c r="A3553" s="2" t="s">
        <v>401</v>
      </c>
      <c r="B3553" s="2" t="s">
        <v>1007</v>
      </c>
      <c r="C3553" s="5" t="s">
        <v>5814</v>
      </c>
      <c r="D3553" s="2" t="s">
        <v>3517</v>
      </c>
    </row>
    <row r="3554" spans="1:4" ht="12.95" customHeight="1" x14ac:dyDescent="0.25">
      <c r="A3554" s="2" t="s">
        <v>401</v>
      </c>
      <c r="B3554" s="2" t="s">
        <v>1007</v>
      </c>
      <c r="C3554" s="5" t="s">
        <v>5815</v>
      </c>
      <c r="D3554" s="2" t="s">
        <v>3519</v>
      </c>
    </row>
    <row r="3555" spans="1:4" ht="12.95" customHeight="1" x14ac:dyDescent="0.25">
      <c r="A3555" s="2" t="s">
        <v>401</v>
      </c>
      <c r="B3555" s="2" t="s">
        <v>1007</v>
      </c>
      <c r="C3555" s="5" t="s">
        <v>5816</v>
      </c>
      <c r="D3555" s="2" t="s">
        <v>3521</v>
      </c>
    </row>
    <row r="3556" spans="1:4" ht="12.95" customHeight="1" x14ac:dyDescent="0.25">
      <c r="A3556" s="2" t="s">
        <v>401</v>
      </c>
      <c r="B3556" s="2" t="s">
        <v>1007</v>
      </c>
      <c r="C3556" s="5" t="s">
        <v>5817</v>
      </c>
      <c r="D3556" s="2" t="s">
        <v>3712</v>
      </c>
    </row>
    <row r="3557" spans="1:4" ht="12.95" customHeight="1" x14ac:dyDescent="0.25">
      <c r="A3557" s="2" t="s">
        <v>401</v>
      </c>
      <c r="B3557" s="2" t="s">
        <v>1007</v>
      </c>
      <c r="C3557" s="5" t="s">
        <v>5818</v>
      </c>
      <c r="D3557" s="2" t="s">
        <v>3525</v>
      </c>
    </row>
    <row r="3558" spans="1:4" ht="12.95" customHeight="1" x14ac:dyDescent="0.25">
      <c r="A3558" s="2" t="s">
        <v>401</v>
      </c>
      <c r="B3558" s="2" t="s">
        <v>1007</v>
      </c>
      <c r="C3558" s="5" t="s">
        <v>5819</v>
      </c>
      <c r="D3558" s="2" t="s">
        <v>3340</v>
      </c>
    </row>
    <row r="3559" spans="1:4" ht="12.95" customHeight="1" x14ac:dyDescent="0.25">
      <c r="A3559" s="2" t="s">
        <v>401</v>
      </c>
      <c r="B3559" s="2" t="s">
        <v>1007</v>
      </c>
      <c r="C3559" s="5" t="s">
        <v>5820</v>
      </c>
      <c r="D3559" s="2" t="s">
        <v>3528</v>
      </c>
    </row>
    <row r="3560" spans="1:4" ht="12.95" customHeight="1" x14ac:dyDescent="0.25">
      <c r="A3560" s="2" t="s">
        <v>401</v>
      </c>
      <c r="B3560" s="2" t="s">
        <v>1007</v>
      </c>
      <c r="C3560" s="5" t="s">
        <v>5821</v>
      </c>
      <c r="D3560" s="2" t="s">
        <v>4671</v>
      </c>
    </row>
    <row r="3561" spans="1:4" ht="12.95" customHeight="1" x14ac:dyDescent="0.25">
      <c r="A3561" s="2" t="s">
        <v>401</v>
      </c>
      <c r="B3561" s="2" t="s">
        <v>1007</v>
      </c>
      <c r="C3561" s="5" t="s">
        <v>5822</v>
      </c>
      <c r="D3561" s="2" t="s">
        <v>3342</v>
      </c>
    </row>
    <row r="3562" spans="1:4" ht="12.95" customHeight="1" x14ac:dyDescent="0.25">
      <c r="A3562" s="2" t="s">
        <v>401</v>
      </c>
      <c r="B3562" s="2" t="s">
        <v>1007</v>
      </c>
      <c r="C3562" s="5" t="s">
        <v>5823</v>
      </c>
      <c r="D3562" s="2" t="s">
        <v>3717</v>
      </c>
    </row>
    <row r="3563" spans="1:4" ht="12.95" customHeight="1" x14ac:dyDescent="0.25">
      <c r="A3563" s="2" t="s">
        <v>401</v>
      </c>
      <c r="B3563" s="2" t="s">
        <v>1007</v>
      </c>
      <c r="C3563" s="5" t="s">
        <v>5824</v>
      </c>
      <c r="D3563" s="2" t="s">
        <v>4676</v>
      </c>
    </row>
    <row r="3564" spans="1:4" ht="12.95" customHeight="1" x14ac:dyDescent="0.25">
      <c r="A3564" s="2" t="s">
        <v>401</v>
      </c>
      <c r="B3564" s="2" t="s">
        <v>1007</v>
      </c>
      <c r="C3564" s="5" t="s">
        <v>5825</v>
      </c>
      <c r="D3564" s="2" t="s">
        <v>3533</v>
      </c>
    </row>
    <row r="3565" spans="1:4" ht="12.95" customHeight="1" x14ac:dyDescent="0.25">
      <c r="A3565" s="2" t="s">
        <v>401</v>
      </c>
      <c r="B3565" s="2" t="s">
        <v>1007</v>
      </c>
      <c r="C3565" s="5" t="s">
        <v>5826</v>
      </c>
      <c r="D3565" s="2" t="s">
        <v>5827</v>
      </c>
    </row>
    <row r="3566" spans="1:4" ht="12.95" customHeight="1" x14ac:dyDescent="0.25">
      <c r="A3566" s="2" t="s">
        <v>401</v>
      </c>
      <c r="B3566" s="2" t="s">
        <v>1007</v>
      </c>
      <c r="C3566" s="5" t="s">
        <v>5828</v>
      </c>
      <c r="D3566" s="2" t="s">
        <v>5829</v>
      </c>
    </row>
    <row r="3567" spans="1:4" ht="12.95" customHeight="1" x14ac:dyDescent="0.25">
      <c r="A3567" s="2" t="s">
        <v>401</v>
      </c>
      <c r="B3567" s="2" t="s">
        <v>1007</v>
      </c>
      <c r="C3567" s="5" t="s">
        <v>5830</v>
      </c>
      <c r="D3567" s="2" t="s">
        <v>3528</v>
      </c>
    </row>
    <row r="3568" spans="1:4" ht="12.95" customHeight="1" x14ac:dyDescent="0.25">
      <c r="A3568" s="2" t="s">
        <v>401</v>
      </c>
      <c r="B3568" s="2" t="s">
        <v>1007</v>
      </c>
      <c r="C3568" s="5" t="s">
        <v>5831</v>
      </c>
      <c r="D3568" s="2" t="s">
        <v>4671</v>
      </c>
    </row>
    <row r="3569" spans="1:4" ht="12.95" customHeight="1" x14ac:dyDescent="0.25">
      <c r="A3569" s="2" t="s">
        <v>401</v>
      </c>
      <c r="B3569" s="2" t="s">
        <v>1007</v>
      </c>
      <c r="C3569" s="5" t="s">
        <v>5832</v>
      </c>
      <c r="D3569" s="2" t="s">
        <v>3342</v>
      </c>
    </row>
    <row r="3570" spans="1:4" ht="12.95" customHeight="1" x14ac:dyDescent="0.25">
      <c r="A3570" s="2" t="s">
        <v>401</v>
      </c>
      <c r="B3570" s="2" t="s">
        <v>1007</v>
      </c>
      <c r="C3570" s="5" t="s">
        <v>5833</v>
      </c>
      <c r="D3570" s="2" t="s">
        <v>5834</v>
      </c>
    </row>
    <row r="3571" spans="1:4" ht="12.95" customHeight="1" x14ac:dyDescent="0.25">
      <c r="A3571" s="2" t="s">
        <v>401</v>
      </c>
      <c r="B3571" s="2" t="s">
        <v>1007</v>
      </c>
      <c r="C3571" s="5" t="s">
        <v>5835</v>
      </c>
      <c r="D3571" s="2" t="s">
        <v>4676</v>
      </c>
    </row>
    <row r="3572" spans="1:4" ht="12.95" customHeight="1" x14ac:dyDescent="0.25">
      <c r="A3572" s="2" t="s">
        <v>401</v>
      </c>
      <c r="B3572" s="2" t="s">
        <v>1007</v>
      </c>
      <c r="C3572" s="5" t="s">
        <v>5836</v>
      </c>
      <c r="D3572" s="2" t="s">
        <v>5837</v>
      </c>
    </row>
    <row r="3573" spans="1:4" ht="12.95" customHeight="1" x14ac:dyDescent="0.25">
      <c r="A3573" s="2" t="s">
        <v>401</v>
      </c>
      <c r="B3573" s="2" t="s">
        <v>1007</v>
      </c>
      <c r="C3573" s="5" t="s">
        <v>5838</v>
      </c>
      <c r="D3573" s="2" t="s">
        <v>3528</v>
      </c>
    </row>
    <row r="3574" spans="1:4" ht="12.95" customHeight="1" x14ac:dyDescent="0.25">
      <c r="A3574" s="2" t="s">
        <v>401</v>
      </c>
      <c r="B3574" s="2" t="s">
        <v>1007</v>
      </c>
      <c r="C3574" s="5" t="s">
        <v>5839</v>
      </c>
      <c r="D3574" s="2" t="s">
        <v>4671</v>
      </c>
    </row>
    <row r="3575" spans="1:4" ht="12.95" customHeight="1" x14ac:dyDescent="0.25">
      <c r="A3575" s="2" t="s">
        <v>401</v>
      </c>
      <c r="B3575" s="2" t="s">
        <v>1007</v>
      </c>
      <c r="C3575" s="5" t="s">
        <v>5840</v>
      </c>
      <c r="D3575" s="2" t="s">
        <v>3342</v>
      </c>
    </row>
    <row r="3576" spans="1:4" ht="12.95" customHeight="1" x14ac:dyDescent="0.25">
      <c r="A3576" s="2" t="s">
        <v>401</v>
      </c>
      <c r="B3576" s="2" t="s">
        <v>1007</v>
      </c>
      <c r="C3576" s="5" t="s">
        <v>5841</v>
      </c>
      <c r="D3576" s="2" t="s">
        <v>3528</v>
      </c>
    </row>
    <row r="3577" spans="1:4" ht="12.95" customHeight="1" x14ac:dyDescent="0.25">
      <c r="A3577" s="2" t="s">
        <v>401</v>
      </c>
      <c r="B3577" s="2" t="s">
        <v>1007</v>
      </c>
      <c r="C3577" s="5" t="s">
        <v>5842</v>
      </c>
      <c r="D3577" s="2" t="s">
        <v>4671</v>
      </c>
    </row>
    <row r="3578" spans="1:4" ht="12.95" customHeight="1" x14ac:dyDescent="0.25">
      <c r="A3578" s="2" t="s">
        <v>401</v>
      </c>
      <c r="B3578" s="2" t="s">
        <v>1007</v>
      </c>
      <c r="C3578" s="5" t="s">
        <v>5843</v>
      </c>
      <c r="D3578" s="2" t="s">
        <v>3342</v>
      </c>
    </row>
    <row r="3579" spans="1:4" ht="12.95" customHeight="1" x14ac:dyDescent="0.25">
      <c r="A3579" s="2" t="s">
        <v>401</v>
      </c>
      <c r="B3579" s="2" t="s">
        <v>1007</v>
      </c>
      <c r="C3579" s="5" t="s">
        <v>5844</v>
      </c>
      <c r="D3579" s="2" t="s">
        <v>3717</v>
      </c>
    </row>
    <row r="3580" spans="1:4" ht="12.95" customHeight="1" x14ac:dyDescent="0.25">
      <c r="A3580" s="2" t="s">
        <v>401</v>
      </c>
      <c r="B3580" s="2" t="s">
        <v>1007</v>
      </c>
      <c r="C3580" s="5" t="s">
        <v>5845</v>
      </c>
      <c r="D3580" s="2" t="s">
        <v>4676</v>
      </c>
    </row>
    <row r="3581" spans="1:4" ht="12.95" customHeight="1" x14ac:dyDescent="0.25">
      <c r="A3581" s="2" t="s">
        <v>401</v>
      </c>
      <c r="B3581" s="2" t="s">
        <v>1007</v>
      </c>
      <c r="C3581" s="5" t="s">
        <v>5846</v>
      </c>
      <c r="D3581" s="2" t="s">
        <v>3528</v>
      </c>
    </row>
    <row r="3582" spans="1:4" ht="12.95" customHeight="1" x14ac:dyDescent="0.25">
      <c r="A3582" s="2" t="s">
        <v>401</v>
      </c>
      <c r="B3582" s="2" t="s">
        <v>1007</v>
      </c>
      <c r="C3582" s="5" t="s">
        <v>5847</v>
      </c>
      <c r="D3582" s="2" t="s">
        <v>4671</v>
      </c>
    </row>
    <row r="3583" spans="1:4" ht="12.95" customHeight="1" x14ac:dyDescent="0.25">
      <c r="A3583" s="2" t="s">
        <v>401</v>
      </c>
      <c r="B3583" s="2" t="s">
        <v>1007</v>
      </c>
      <c r="C3583" s="5" t="s">
        <v>5848</v>
      </c>
      <c r="D3583" s="2" t="s">
        <v>3342</v>
      </c>
    </row>
    <row r="3584" spans="1:4" ht="12.95" customHeight="1" x14ac:dyDescent="0.25">
      <c r="A3584" s="2" t="s">
        <v>401</v>
      </c>
      <c r="B3584" s="2" t="s">
        <v>1007</v>
      </c>
      <c r="C3584" s="5" t="s">
        <v>5849</v>
      </c>
      <c r="D3584" s="2" t="s">
        <v>3717</v>
      </c>
    </row>
    <row r="3585" spans="1:4" ht="12.95" customHeight="1" x14ac:dyDescent="0.25">
      <c r="A3585" s="2" t="s">
        <v>401</v>
      </c>
      <c r="B3585" s="2" t="s">
        <v>1007</v>
      </c>
      <c r="C3585" s="5" t="s">
        <v>5850</v>
      </c>
      <c r="D3585" s="2" t="s">
        <v>4676</v>
      </c>
    </row>
    <row r="3586" spans="1:4" ht="12.95" customHeight="1" x14ac:dyDescent="0.25">
      <c r="A3586" s="2" t="s">
        <v>401</v>
      </c>
      <c r="B3586" s="2" t="s">
        <v>1007</v>
      </c>
      <c r="C3586" s="5" t="s">
        <v>5851</v>
      </c>
      <c r="D3586" s="2" t="s">
        <v>5829</v>
      </c>
    </row>
    <row r="3587" spans="1:4" ht="12.95" customHeight="1" x14ac:dyDescent="0.25">
      <c r="A3587" s="2" t="s">
        <v>401</v>
      </c>
      <c r="B3587" s="2" t="s">
        <v>1007</v>
      </c>
      <c r="C3587" s="5" t="s">
        <v>5852</v>
      </c>
      <c r="D3587" s="2" t="s">
        <v>3528</v>
      </c>
    </row>
    <row r="3588" spans="1:4" ht="12.95" customHeight="1" x14ac:dyDescent="0.25">
      <c r="A3588" s="2" t="s">
        <v>401</v>
      </c>
      <c r="B3588" s="2" t="s">
        <v>1007</v>
      </c>
      <c r="C3588" s="5" t="s">
        <v>5853</v>
      </c>
      <c r="D3588" s="2" t="s">
        <v>4671</v>
      </c>
    </row>
    <row r="3589" spans="1:4" ht="12.95" customHeight="1" x14ac:dyDescent="0.25">
      <c r="A3589" s="2" t="s">
        <v>401</v>
      </c>
      <c r="B3589" s="2" t="s">
        <v>1007</v>
      </c>
      <c r="C3589" s="5" t="s">
        <v>5854</v>
      </c>
      <c r="D3589" s="2" t="s">
        <v>3342</v>
      </c>
    </row>
    <row r="3590" spans="1:4" ht="12.95" customHeight="1" x14ac:dyDescent="0.25">
      <c r="A3590" s="2" t="s">
        <v>401</v>
      </c>
      <c r="B3590" s="2" t="s">
        <v>1007</v>
      </c>
      <c r="C3590" s="5" t="s">
        <v>5855</v>
      </c>
      <c r="D3590" s="2" t="s">
        <v>3717</v>
      </c>
    </row>
    <row r="3591" spans="1:4" ht="12.95" customHeight="1" x14ac:dyDescent="0.25">
      <c r="A3591" s="2" t="s">
        <v>401</v>
      </c>
      <c r="B3591" s="2" t="s">
        <v>1007</v>
      </c>
      <c r="C3591" s="5" t="s">
        <v>5856</v>
      </c>
      <c r="D3591" s="2" t="s">
        <v>5857</v>
      </c>
    </row>
    <row r="3592" spans="1:4" ht="12.95" customHeight="1" x14ac:dyDescent="0.25">
      <c r="A3592" s="2" t="s">
        <v>401</v>
      </c>
      <c r="B3592" s="2" t="s">
        <v>1007</v>
      </c>
      <c r="C3592" s="5" t="s">
        <v>5858</v>
      </c>
      <c r="D3592" s="2" t="s">
        <v>5859</v>
      </c>
    </row>
    <row r="3593" spans="1:4" ht="12.95" customHeight="1" x14ac:dyDescent="0.25">
      <c r="A3593" s="2" t="s">
        <v>401</v>
      </c>
      <c r="B3593" s="2" t="s">
        <v>1007</v>
      </c>
      <c r="C3593" s="5" t="s">
        <v>5860</v>
      </c>
      <c r="D3593" s="2" t="s">
        <v>5861</v>
      </c>
    </row>
    <row r="3594" spans="1:4" ht="12.95" customHeight="1" x14ac:dyDescent="0.25">
      <c r="A3594" s="2" t="s">
        <v>401</v>
      </c>
      <c r="B3594" s="2" t="s">
        <v>1007</v>
      </c>
      <c r="C3594" s="5" t="s">
        <v>5862</v>
      </c>
      <c r="D3594" s="2" t="s">
        <v>5863</v>
      </c>
    </row>
    <row r="3595" spans="1:4" ht="12.95" customHeight="1" x14ac:dyDescent="0.25">
      <c r="A3595" s="2" t="s">
        <v>401</v>
      </c>
      <c r="B3595" s="2" t="s">
        <v>1007</v>
      </c>
      <c r="C3595" s="5" t="s">
        <v>5864</v>
      </c>
      <c r="D3595" s="2" t="s">
        <v>3280</v>
      </c>
    </row>
    <row r="3596" spans="1:4" ht="12.95" customHeight="1" x14ac:dyDescent="0.25">
      <c r="A3596" s="2" t="s">
        <v>401</v>
      </c>
      <c r="B3596" s="2" t="s">
        <v>1007</v>
      </c>
      <c r="C3596" s="5" t="s">
        <v>5865</v>
      </c>
      <c r="D3596" s="2" t="s">
        <v>3312</v>
      </c>
    </row>
    <row r="3597" spans="1:4" ht="12.95" customHeight="1" x14ac:dyDescent="0.25">
      <c r="A3597" s="2" t="s">
        <v>401</v>
      </c>
      <c r="B3597" s="2" t="s">
        <v>1007</v>
      </c>
      <c r="C3597" s="5" t="s">
        <v>5866</v>
      </c>
      <c r="D3597" s="2" t="s">
        <v>5867</v>
      </c>
    </row>
    <row r="3598" spans="1:4" ht="12.95" customHeight="1" x14ac:dyDescent="0.25">
      <c r="A3598" s="2" t="s">
        <v>401</v>
      </c>
      <c r="B3598" s="2" t="s">
        <v>1007</v>
      </c>
      <c r="C3598" s="5" t="s">
        <v>5868</v>
      </c>
      <c r="D3598" s="2" t="s">
        <v>5103</v>
      </c>
    </row>
    <row r="3599" spans="1:4" ht="12.95" customHeight="1" x14ac:dyDescent="0.25">
      <c r="A3599" s="2" t="s">
        <v>401</v>
      </c>
      <c r="B3599" s="2" t="s">
        <v>1007</v>
      </c>
      <c r="C3599" s="5" t="s">
        <v>5869</v>
      </c>
      <c r="D3599" s="2" t="s">
        <v>4885</v>
      </c>
    </row>
    <row r="3600" spans="1:4" ht="12.95" customHeight="1" x14ac:dyDescent="0.25">
      <c r="A3600" s="2" t="s">
        <v>401</v>
      </c>
      <c r="B3600" s="2" t="s">
        <v>1007</v>
      </c>
      <c r="C3600" s="5" t="s">
        <v>5870</v>
      </c>
      <c r="D3600" s="2" t="s">
        <v>4447</v>
      </c>
    </row>
    <row r="3601" spans="1:4" ht="12.95" customHeight="1" x14ac:dyDescent="0.25">
      <c r="A3601" s="2" t="s">
        <v>401</v>
      </c>
      <c r="B3601" s="2" t="s">
        <v>1007</v>
      </c>
      <c r="C3601" s="5" t="s">
        <v>5871</v>
      </c>
      <c r="D3601" s="2" t="s">
        <v>5107</v>
      </c>
    </row>
    <row r="3602" spans="1:4" ht="12.95" customHeight="1" x14ac:dyDescent="0.25">
      <c r="A3602" s="2" t="s">
        <v>401</v>
      </c>
      <c r="B3602" s="2" t="s">
        <v>1007</v>
      </c>
      <c r="C3602" s="5" t="s">
        <v>5872</v>
      </c>
      <c r="D3602" s="2" t="s">
        <v>5873</v>
      </c>
    </row>
    <row r="3603" spans="1:4" ht="12.95" customHeight="1" x14ac:dyDescent="0.25">
      <c r="A3603" s="2" t="s">
        <v>401</v>
      </c>
      <c r="B3603" s="2" t="s">
        <v>1007</v>
      </c>
      <c r="C3603" s="5" t="s">
        <v>5874</v>
      </c>
      <c r="D3603" s="2" t="s">
        <v>5875</v>
      </c>
    </row>
    <row r="3604" spans="1:4" ht="12.95" customHeight="1" x14ac:dyDescent="0.25">
      <c r="A3604" s="2" t="s">
        <v>401</v>
      </c>
      <c r="B3604" s="2" t="s">
        <v>1007</v>
      </c>
      <c r="C3604" s="5" t="s">
        <v>5876</v>
      </c>
      <c r="D3604" s="2" t="s">
        <v>4887</v>
      </c>
    </row>
    <row r="3605" spans="1:4" ht="12.95" customHeight="1" x14ac:dyDescent="0.25">
      <c r="A3605" s="2" t="s">
        <v>401</v>
      </c>
      <c r="B3605" s="2" t="s">
        <v>1007</v>
      </c>
      <c r="C3605" s="5" t="s">
        <v>5877</v>
      </c>
      <c r="D3605" s="2" t="s">
        <v>5103</v>
      </c>
    </row>
    <row r="3606" spans="1:4" ht="12.95" customHeight="1" x14ac:dyDescent="0.25">
      <c r="A3606" s="2" t="s">
        <v>401</v>
      </c>
      <c r="B3606" s="2" t="s">
        <v>1007</v>
      </c>
      <c r="C3606" s="5" t="s">
        <v>5878</v>
      </c>
      <c r="D3606" s="2" t="s">
        <v>4885</v>
      </c>
    </row>
    <row r="3607" spans="1:4" ht="12.95" customHeight="1" x14ac:dyDescent="0.25">
      <c r="A3607" s="2" t="s">
        <v>401</v>
      </c>
      <c r="B3607" s="2" t="s">
        <v>1007</v>
      </c>
      <c r="C3607" s="5" t="s">
        <v>5879</v>
      </c>
      <c r="D3607" s="2" t="s">
        <v>5880</v>
      </c>
    </row>
    <row r="3608" spans="1:4" ht="12.95" customHeight="1" x14ac:dyDescent="0.25">
      <c r="A3608" s="2" t="s">
        <v>401</v>
      </c>
      <c r="B3608" s="2" t="s">
        <v>1007</v>
      </c>
      <c r="C3608" s="5" t="s">
        <v>5881</v>
      </c>
      <c r="D3608" s="2" t="s">
        <v>5882</v>
      </c>
    </row>
    <row r="3609" spans="1:4" ht="12.95" customHeight="1" x14ac:dyDescent="0.25">
      <c r="A3609" s="2" t="s">
        <v>401</v>
      </c>
      <c r="B3609" s="2" t="s">
        <v>1007</v>
      </c>
      <c r="C3609" s="5" t="s">
        <v>5883</v>
      </c>
      <c r="D3609" s="2" t="s">
        <v>4453</v>
      </c>
    </row>
    <row r="3610" spans="1:4" ht="12.95" customHeight="1" x14ac:dyDescent="0.25">
      <c r="A3610" s="2" t="s">
        <v>401</v>
      </c>
      <c r="B3610" s="2" t="s">
        <v>1007</v>
      </c>
      <c r="C3610" s="5" t="s">
        <v>5884</v>
      </c>
      <c r="D3610" s="2" t="s">
        <v>5885</v>
      </c>
    </row>
    <row r="3611" spans="1:4" ht="12.95" customHeight="1" x14ac:dyDescent="0.25">
      <c r="A3611" s="2" t="s">
        <v>401</v>
      </c>
      <c r="B3611" s="2" t="s">
        <v>1007</v>
      </c>
      <c r="C3611" s="5" t="s">
        <v>5886</v>
      </c>
      <c r="D3611" s="2" t="s">
        <v>5887</v>
      </c>
    </row>
    <row r="3612" spans="1:4" ht="12.95" customHeight="1" x14ac:dyDescent="0.25">
      <c r="A3612" s="2" t="s">
        <v>401</v>
      </c>
      <c r="B3612" s="2" t="s">
        <v>1007</v>
      </c>
      <c r="C3612" s="5" t="s">
        <v>5888</v>
      </c>
      <c r="D3612" s="2" t="s">
        <v>5889</v>
      </c>
    </row>
    <row r="3613" spans="1:4" ht="12.95" customHeight="1" x14ac:dyDescent="0.25">
      <c r="A3613" s="2" t="s">
        <v>401</v>
      </c>
      <c r="B3613" s="2" t="s">
        <v>1007</v>
      </c>
      <c r="C3613" s="5" t="s">
        <v>5890</v>
      </c>
      <c r="D3613" s="2" t="s">
        <v>5891</v>
      </c>
    </row>
    <row r="3614" spans="1:4" ht="12.95" customHeight="1" x14ac:dyDescent="0.25">
      <c r="A3614" s="2" t="s">
        <v>401</v>
      </c>
      <c r="B3614" s="2" t="s">
        <v>1007</v>
      </c>
      <c r="C3614" s="5" t="s">
        <v>5892</v>
      </c>
      <c r="D3614" s="2" t="s">
        <v>5893</v>
      </c>
    </row>
    <row r="3615" spans="1:4" ht="12.95" customHeight="1" x14ac:dyDescent="0.25">
      <c r="A3615" s="2" t="s">
        <v>401</v>
      </c>
      <c r="B3615" s="2" t="s">
        <v>1007</v>
      </c>
      <c r="C3615" s="5" t="s">
        <v>5894</v>
      </c>
      <c r="D3615" s="2" t="s">
        <v>5895</v>
      </c>
    </row>
    <row r="3616" spans="1:4" ht="12.95" customHeight="1" x14ac:dyDescent="0.25">
      <c r="A3616" s="2" t="s">
        <v>401</v>
      </c>
      <c r="B3616" s="2" t="s">
        <v>1007</v>
      </c>
      <c r="C3616" s="5" t="s">
        <v>5896</v>
      </c>
      <c r="D3616" s="2" t="s">
        <v>5897</v>
      </c>
    </row>
    <row r="3617" spans="1:4" ht="12.95" customHeight="1" x14ac:dyDescent="0.25">
      <c r="A3617" s="2" t="s">
        <v>401</v>
      </c>
      <c r="B3617" s="2" t="s">
        <v>1007</v>
      </c>
      <c r="C3617" s="5" t="s">
        <v>5898</v>
      </c>
      <c r="D3617" s="2" t="s">
        <v>5899</v>
      </c>
    </row>
    <row r="3618" spans="1:4" ht="12.95" customHeight="1" x14ac:dyDescent="0.25">
      <c r="A3618" s="2" t="s">
        <v>401</v>
      </c>
      <c r="B3618" s="2" t="s">
        <v>1007</v>
      </c>
      <c r="C3618" s="5" t="s">
        <v>5900</v>
      </c>
      <c r="D3618" s="2" t="s">
        <v>5901</v>
      </c>
    </row>
    <row r="3619" spans="1:4" ht="12.95" customHeight="1" x14ac:dyDescent="0.25">
      <c r="A3619" s="2" t="s">
        <v>401</v>
      </c>
      <c r="B3619" s="2" t="s">
        <v>1007</v>
      </c>
      <c r="C3619" s="5" t="s">
        <v>5902</v>
      </c>
      <c r="D3619" s="2" t="s">
        <v>5903</v>
      </c>
    </row>
    <row r="3620" spans="1:4" ht="12.95" customHeight="1" x14ac:dyDescent="0.25">
      <c r="A3620" s="2" t="s">
        <v>401</v>
      </c>
      <c r="B3620" s="2" t="s">
        <v>1007</v>
      </c>
      <c r="C3620" s="5" t="s">
        <v>5904</v>
      </c>
      <c r="D3620" s="2" t="s">
        <v>5905</v>
      </c>
    </row>
    <row r="3621" spans="1:4" ht="12.95" customHeight="1" x14ac:dyDescent="0.25">
      <c r="A3621" s="2" t="s">
        <v>401</v>
      </c>
      <c r="B3621" s="2" t="s">
        <v>1007</v>
      </c>
      <c r="C3621" s="5" t="s">
        <v>5906</v>
      </c>
      <c r="D3621" s="2" t="s">
        <v>5907</v>
      </c>
    </row>
    <row r="3622" spans="1:4" ht="12.95" customHeight="1" x14ac:dyDescent="0.25">
      <c r="A3622" s="2" t="s">
        <v>401</v>
      </c>
      <c r="B3622" s="2" t="s">
        <v>1007</v>
      </c>
      <c r="C3622" s="5" t="s">
        <v>5908</v>
      </c>
      <c r="D3622" s="2" t="s">
        <v>5909</v>
      </c>
    </row>
    <row r="3623" spans="1:4" ht="12.95" customHeight="1" x14ac:dyDescent="0.25">
      <c r="A3623" s="2" t="s">
        <v>401</v>
      </c>
      <c r="B3623" s="2" t="s">
        <v>1007</v>
      </c>
      <c r="C3623" s="5" t="s">
        <v>5910</v>
      </c>
      <c r="D3623" s="2" t="s">
        <v>5911</v>
      </c>
    </row>
    <row r="3624" spans="1:4" ht="12.95" customHeight="1" x14ac:dyDescent="0.25">
      <c r="A3624" s="2" t="s">
        <v>401</v>
      </c>
      <c r="B3624" s="2" t="s">
        <v>1007</v>
      </c>
      <c r="C3624" s="5" t="s">
        <v>5912</v>
      </c>
      <c r="D3624" s="2" t="s">
        <v>4667</v>
      </c>
    </row>
    <row r="3625" spans="1:4" ht="12.95" customHeight="1" x14ac:dyDescent="0.25">
      <c r="A3625" s="2" t="s">
        <v>401</v>
      </c>
      <c r="B3625" s="2" t="s">
        <v>1007</v>
      </c>
      <c r="C3625" s="5" t="s">
        <v>5913</v>
      </c>
      <c r="D3625" s="2" t="s">
        <v>5914</v>
      </c>
    </row>
    <row r="3626" spans="1:4" ht="12.95" customHeight="1" x14ac:dyDescent="0.25">
      <c r="A3626" s="2" t="s">
        <v>401</v>
      </c>
      <c r="B3626" s="2" t="s">
        <v>1007</v>
      </c>
      <c r="C3626" s="5" t="s">
        <v>5915</v>
      </c>
      <c r="D3626" s="2" t="s">
        <v>5916</v>
      </c>
    </row>
    <row r="3627" spans="1:4" ht="12.95" customHeight="1" x14ac:dyDescent="0.25">
      <c r="A3627" s="2" t="s">
        <v>401</v>
      </c>
      <c r="B3627" s="2" t="s">
        <v>1007</v>
      </c>
      <c r="C3627" s="5" t="s">
        <v>5917</v>
      </c>
      <c r="D3627" s="2" t="s">
        <v>5918</v>
      </c>
    </row>
    <row r="3628" spans="1:4" ht="12.95" customHeight="1" x14ac:dyDescent="0.25">
      <c r="A3628" s="2" t="s">
        <v>401</v>
      </c>
      <c r="B3628" s="2" t="s">
        <v>1007</v>
      </c>
      <c r="C3628" s="5" t="s">
        <v>5919</v>
      </c>
      <c r="D3628" s="2" t="s">
        <v>5920</v>
      </c>
    </row>
    <row r="3629" spans="1:4" ht="12.95" customHeight="1" x14ac:dyDescent="0.25">
      <c r="A3629" s="2" t="s">
        <v>401</v>
      </c>
      <c r="B3629" s="2" t="s">
        <v>1007</v>
      </c>
      <c r="C3629" s="5" t="s">
        <v>5921</v>
      </c>
      <c r="D3629" s="2" t="s">
        <v>5922</v>
      </c>
    </row>
    <row r="3630" spans="1:4" ht="12.95" customHeight="1" x14ac:dyDescent="0.25">
      <c r="A3630" s="2" t="s">
        <v>401</v>
      </c>
      <c r="B3630" s="2" t="s">
        <v>1007</v>
      </c>
      <c r="C3630" s="5" t="s">
        <v>5923</v>
      </c>
      <c r="D3630" s="2" t="s">
        <v>5924</v>
      </c>
    </row>
    <row r="3631" spans="1:4" ht="12.95" customHeight="1" x14ac:dyDescent="0.25">
      <c r="A3631" s="2" t="s">
        <v>401</v>
      </c>
      <c r="B3631" s="2" t="s">
        <v>1007</v>
      </c>
      <c r="C3631" s="5" t="s">
        <v>5925</v>
      </c>
      <c r="D3631" s="2" t="s">
        <v>5926</v>
      </c>
    </row>
    <row r="3632" spans="1:4" ht="12.95" customHeight="1" x14ac:dyDescent="0.25">
      <c r="A3632" s="2" t="s">
        <v>401</v>
      </c>
      <c r="B3632" s="2" t="s">
        <v>1007</v>
      </c>
      <c r="C3632" s="5" t="s">
        <v>5927</v>
      </c>
      <c r="D3632" s="2" t="s">
        <v>5928</v>
      </c>
    </row>
    <row r="3633" spans="1:4" ht="12.95" customHeight="1" x14ac:dyDescent="0.25">
      <c r="A3633" s="2" t="s">
        <v>401</v>
      </c>
      <c r="B3633" s="2" t="s">
        <v>1007</v>
      </c>
      <c r="C3633" s="5" t="s">
        <v>5929</v>
      </c>
      <c r="D3633" s="2" t="s">
        <v>5930</v>
      </c>
    </row>
    <row r="3634" spans="1:4" ht="12.95" customHeight="1" x14ac:dyDescent="0.25">
      <c r="A3634" s="2" t="s">
        <v>401</v>
      </c>
      <c r="B3634" s="2" t="s">
        <v>1007</v>
      </c>
      <c r="C3634" s="5" t="s">
        <v>5931</v>
      </c>
      <c r="D3634" s="2" t="s">
        <v>4671</v>
      </c>
    </row>
    <row r="3635" spans="1:4" ht="12.95" customHeight="1" x14ac:dyDescent="0.25">
      <c r="A3635" s="2" t="s">
        <v>401</v>
      </c>
      <c r="B3635" s="2" t="s">
        <v>1007</v>
      </c>
      <c r="C3635" s="5" t="s">
        <v>5932</v>
      </c>
      <c r="D3635" s="2" t="s">
        <v>3342</v>
      </c>
    </row>
    <row r="3636" spans="1:4" ht="12.95" customHeight="1" x14ac:dyDescent="0.25">
      <c r="A3636" s="2" t="s">
        <v>401</v>
      </c>
      <c r="B3636" s="2" t="s">
        <v>1007</v>
      </c>
      <c r="C3636" s="5" t="s">
        <v>5933</v>
      </c>
      <c r="D3636" s="2" t="s">
        <v>3717</v>
      </c>
    </row>
    <row r="3637" spans="1:4" ht="12.95" customHeight="1" x14ac:dyDescent="0.25">
      <c r="A3637" s="2" t="s">
        <v>401</v>
      </c>
      <c r="B3637" s="2" t="s">
        <v>1007</v>
      </c>
      <c r="C3637" s="5" t="s">
        <v>5934</v>
      </c>
      <c r="D3637" s="2" t="s">
        <v>3348</v>
      </c>
    </row>
    <row r="3638" spans="1:4" ht="12.95" customHeight="1" x14ac:dyDescent="0.25">
      <c r="A3638" s="2" t="s">
        <v>401</v>
      </c>
      <c r="B3638" s="2" t="s">
        <v>1007</v>
      </c>
      <c r="C3638" s="5" t="s">
        <v>5935</v>
      </c>
      <c r="D3638" s="2" t="s">
        <v>5936</v>
      </c>
    </row>
    <row r="3639" spans="1:4" ht="12.95" customHeight="1" x14ac:dyDescent="0.25">
      <c r="A3639" s="2" t="s">
        <v>401</v>
      </c>
      <c r="B3639" s="2" t="s">
        <v>1007</v>
      </c>
      <c r="C3639" s="5" t="s">
        <v>5937</v>
      </c>
      <c r="D3639" s="2" t="s">
        <v>4507</v>
      </c>
    </row>
    <row r="3640" spans="1:4" ht="12.95" customHeight="1" x14ac:dyDescent="0.25">
      <c r="A3640" s="2" t="s">
        <v>401</v>
      </c>
      <c r="B3640" s="2" t="s">
        <v>1007</v>
      </c>
      <c r="C3640" s="5" t="s">
        <v>5938</v>
      </c>
      <c r="D3640" s="2" t="s">
        <v>5939</v>
      </c>
    </row>
    <row r="3641" spans="1:4" ht="12.95" customHeight="1" x14ac:dyDescent="0.25">
      <c r="A3641" s="2" t="s">
        <v>401</v>
      </c>
      <c r="B3641" s="2" t="s">
        <v>1007</v>
      </c>
      <c r="C3641" s="5" t="s">
        <v>5940</v>
      </c>
      <c r="D3641" s="2" t="s">
        <v>5941</v>
      </c>
    </row>
    <row r="3642" spans="1:4" ht="12.95" customHeight="1" x14ac:dyDescent="0.25">
      <c r="A3642" s="2" t="s">
        <v>401</v>
      </c>
      <c r="B3642" s="2" t="s">
        <v>1007</v>
      </c>
      <c r="C3642" s="5" t="s">
        <v>5942</v>
      </c>
      <c r="D3642" s="2" t="s">
        <v>5103</v>
      </c>
    </row>
    <row r="3643" spans="1:4" ht="12.95" customHeight="1" x14ac:dyDescent="0.25">
      <c r="A3643" s="2" t="s">
        <v>401</v>
      </c>
      <c r="B3643" s="2" t="s">
        <v>1007</v>
      </c>
      <c r="C3643" s="5" t="s">
        <v>5943</v>
      </c>
      <c r="D3643" s="2" t="s">
        <v>4885</v>
      </c>
    </row>
    <row r="3644" spans="1:4" ht="12.95" customHeight="1" x14ac:dyDescent="0.25">
      <c r="A3644" s="2" t="s">
        <v>401</v>
      </c>
      <c r="B3644" s="2" t="s">
        <v>1007</v>
      </c>
      <c r="C3644" s="5" t="s">
        <v>5944</v>
      </c>
      <c r="D3644" s="2" t="s">
        <v>4447</v>
      </c>
    </row>
    <row r="3645" spans="1:4" ht="12.95" customHeight="1" x14ac:dyDescent="0.25">
      <c r="A3645" s="2" t="s">
        <v>401</v>
      </c>
      <c r="B3645" s="2" t="s">
        <v>1007</v>
      </c>
      <c r="C3645" s="5" t="s">
        <v>5945</v>
      </c>
      <c r="D3645" s="2" t="s">
        <v>5107</v>
      </c>
    </row>
    <row r="3646" spans="1:4" ht="12.95" customHeight="1" x14ac:dyDescent="0.25">
      <c r="A3646" s="2" t="s">
        <v>401</v>
      </c>
      <c r="B3646" s="2" t="s">
        <v>1007</v>
      </c>
      <c r="C3646" s="5" t="s">
        <v>5946</v>
      </c>
      <c r="D3646" s="2" t="s">
        <v>4449</v>
      </c>
    </row>
    <row r="3647" spans="1:4" ht="12.95" customHeight="1" x14ac:dyDescent="0.25">
      <c r="A3647" s="2" t="s">
        <v>401</v>
      </c>
      <c r="B3647" s="2" t="s">
        <v>1007</v>
      </c>
      <c r="C3647" s="5" t="s">
        <v>5947</v>
      </c>
      <c r="D3647" s="2" t="s">
        <v>5110</v>
      </c>
    </row>
    <row r="3648" spans="1:4" ht="12.95" customHeight="1" x14ac:dyDescent="0.25">
      <c r="A3648" s="2" t="s">
        <v>401</v>
      </c>
      <c r="B3648" s="2" t="s">
        <v>1007</v>
      </c>
      <c r="C3648" s="5" t="s">
        <v>5948</v>
      </c>
      <c r="D3648" s="2" t="s">
        <v>4887</v>
      </c>
    </row>
    <row r="3649" spans="1:4" ht="12.95" customHeight="1" x14ac:dyDescent="0.25">
      <c r="A3649" s="2" t="s">
        <v>401</v>
      </c>
      <c r="B3649" s="2" t="s">
        <v>1007</v>
      </c>
      <c r="C3649" s="5" t="s">
        <v>5949</v>
      </c>
      <c r="D3649" s="2" t="s">
        <v>5950</v>
      </c>
    </row>
    <row r="3650" spans="1:4" ht="12.95" customHeight="1" x14ac:dyDescent="0.25">
      <c r="A3650" s="2" t="s">
        <v>401</v>
      </c>
      <c r="B3650" s="2" t="s">
        <v>1007</v>
      </c>
      <c r="C3650" s="5" t="s">
        <v>5951</v>
      </c>
      <c r="D3650" s="2" t="s">
        <v>5952</v>
      </c>
    </row>
    <row r="3651" spans="1:4" ht="12.95" customHeight="1" x14ac:dyDescent="0.25">
      <c r="A3651" s="2" t="s">
        <v>401</v>
      </c>
      <c r="B3651" s="2" t="s">
        <v>1007</v>
      </c>
      <c r="C3651" s="5" t="s">
        <v>5953</v>
      </c>
      <c r="D3651" s="2" t="s">
        <v>5954</v>
      </c>
    </row>
    <row r="3652" spans="1:4" ht="12.95" customHeight="1" x14ac:dyDescent="0.25">
      <c r="A3652" s="2" t="s">
        <v>401</v>
      </c>
      <c r="B3652" s="2" t="s">
        <v>1007</v>
      </c>
      <c r="C3652" s="5" t="s">
        <v>5955</v>
      </c>
      <c r="D3652" s="2" t="s">
        <v>5956</v>
      </c>
    </row>
    <row r="3653" spans="1:4" ht="12.95" customHeight="1" x14ac:dyDescent="0.25">
      <c r="A3653" s="2" t="s">
        <v>401</v>
      </c>
      <c r="B3653" s="2" t="s">
        <v>1007</v>
      </c>
      <c r="C3653" s="5" t="s">
        <v>5957</v>
      </c>
      <c r="D3653" s="2" t="s">
        <v>5958</v>
      </c>
    </row>
    <row r="3654" spans="1:4" ht="12.95" customHeight="1" x14ac:dyDescent="0.25">
      <c r="A3654" s="2" t="s">
        <v>401</v>
      </c>
      <c r="B3654" s="2" t="s">
        <v>1007</v>
      </c>
      <c r="C3654" s="5" t="s">
        <v>5959</v>
      </c>
      <c r="D3654" s="2" t="s">
        <v>5901</v>
      </c>
    </row>
    <row r="3655" spans="1:4" ht="12.95" customHeight="1" x14ac:dyDescent="0.25">
      <c r="A3655" s="2" t="s">
        <v>401</v>
      </c>
      <c r="B3655" s="2" t="s">
        <v>1007</v>
      </c>
      <c r="C3655" s="5" t="s">
        <v>5960</v>
      </c>
      <c r="D3655" s="2" t="s">
        <v>5961</v>
      </c>
    </row>
    <row r="3656" spans="1:4" ht="12.95" customHeight="1" x14ac:dyDescent="0.25">
      <c r="A3656" s="2" t="s">
        <v>401</v>
      </c>
      <c r="B3656" s="2" t="s">
        <v>1007</v>
      </c>
      <c r="C3656" s="5" t="s">
        <v>5962</v>
      </c>
      <c r="D3656" s="2" t="s">
        <v>5963</v>
      </c>
    </row>
    <row r="3657" spans="1:4" ht="12.95" customHeight="1" x14ac:dyDescent="0.25">
      <c r="A3657" s="2" t="s">
        <v>401</v>
      </c>
      <c r="B3657" s="2" t="s">
        <v>1007</v>
      </c>
      <c r="C3657" s="5" t="s">
        <v>5964</v>
      </c>
      <c r="D3657" s="2" t="s">
        <v>5965</v>
      </c>
    </row>
    <row r="3658" spans="1:4" ht="12.95" customHeight="1" x14ac:dyDescent="0.25">
      <c r="A3658" s="2" t="s">
        <v>401</v>
      </c>
      <c r="B3658" s="2" t="s">
        <v>1007</v>
      </c>
      <c r="C3658" s="5" t="s">
        <v>5966</v>
      </c>
      <c r="D3658" s="2" t="s">
        <v>5967</v>
      </c>
    </row>
    <row r="3659" spans="1:4" ht="12.95" customHeight="1" x14ac:dyDescent="0.25">
      <c r="A3659" s="2" t="s">
        <v>401</v>
      </c>
      <c r="B3659" s="2" t="s">
        <v>1007</v>
      </c>
      <c r="C3659" s="5" t="s">
        <v>5968</v>
      </c>
      <c r="D3659" s="2" t="s">
        <v>3712</v>
      </c>
    </row>
    <row r="3660" spans="1:4" ht="12.95" customHeight="1" x14ac:dyDescent="0.25">
      <c r="A3660" s="2" t="s">
        <v>401</v>
      </c>
      <c r="B3660" s="2" t="s">
        <v>1007</v>
      </c>
      <c r="C3660" s="5" t="s">
        <v>5969</v>
      </c>
      <c r="D3660" s="2" t="s">
        <v>3525</v>
      </c>
    </row>
    <row r="3661" spans="1:4" ht="12.95" customHeight="1" x14ac:dyDescent="0.25">
      <c r="A3661" s="2" t="s">
        <v>401</v>
      </c>
      <c r="B3661" s="2" t="s">
        <v>1007</v>
      </c>
      <c r="C3661" s="5" t="s">
        <v>5970</v>
      </c>
      <c r="D3661" s="2" t="s">
        <v>5971</v>
      </c>
    </row>
    <row r="3662" spans="1:4" ht="12.95" customHeight="1" x14ac:dyDescent="0.25">
      <c r="A3662" s="2" t="s">
        <v>401</v>
      </c>
      <c r="B3662" s="2" t="s">
        <v>1007</v>
      </c>
      <c r="C3662" s="5" t="s">
        <v>5972</v>
      </c>
      <c r="D3662" s="2" t="s">
        <v>5973</v>
      </c>
    </row>
    <row r="3663" spans="1:4" ht="12.95" customHeight="1" x14ac:dyDescent="0.25">
      <c r="A3663" s="2" t="s">
        <v>401</v>
      </c>
      <c r="B3663" s="2" t="s">
        <v>1007</v>
      </c>
      <c r="C3663" s="5" t="s">
        <v>5974</v>
      </c>
      <c r="D3663" s="2" t="s">
        <v>5975</v>
      </c>
    </row>
    <row r="3664" spans="1:4" ht="12.95" customHeight="1" x14ac:dyDescent="0.25">
      <c r="A3664" s="2" t="s">
        <v>401</v>
      </c>
      <c r="B3664" s="2" t="s">
        <v>1007</v>
      </c>
      <c r="C3664" s="5" t="s">
        <v>5976</v>
      </c>
      <c r="D3664" s="2" t="s">
        <v>5977</v>
      </c>
    </row>
    <row r="3665" spans="1:4" ht="12.95" customHeight="1" x14ac:dyDescent="0.25">
      <c r="A3665" s="2" t="s">
        <v>401</v>
      </c>
      <c r="B3665" s="2" t="s">
        <v>1007</v>
      </c>
      <c r="C3665" s="5" t="s">
        <v>5978</v>
      </c>
      <c r="D3665" s="2" t="s">
        <v>3717</v>
      </c>
    </row>
    <row r="3666" spans="1:4" ht="12.95" customHeight="1" x14ac:dyDescent="0.25">
      <c r="A3666" s="2" t="s">
        <v>401</v>
      </c>
      <c r="B3666" s="2" t="s">
        <v>1007</v>
      </c>
      <c r="C3666" s="5" t="s">
        <v>5979</v>
      </c>
      <c r="D3666" s="2" t="s">
        <v>4676</v>
      </c>
    </row>
    <row r="3667" spans="1:4" ht="12.95" customHeight="1" x14ac:dyDescent="0.25">
      <c r="A3667" s="2" t="s">
        <v>401</v>
      </c>
      <c r="B3667" s="2" t="s">
        <v>1007</v>
      </c>
      <c r="C3667" s="5" t="s">
        <v>5980</v>
      </c>
      <c r="D3667" s="2" t="s">
        <v>1037</v>
      </c>
    </row>
    <row r="3668" spans="1:4" ht="12.95" customHeight="1" x14ac:dyDescent="0.25">
      <c r="A3668" s="2" t="s">
        <v>401</v>
      </c>
      <c r="B3668" s="2" t="s">
        <v>1007</v>
      </c>
      <c r="C3668" s="5" t="s">
        <v>5981</v>
      </c>
      <c r="D3668" s="2" t="s">
        <v>3348</v>
      </c>
    </row>
    <row r="3669" spans="1:4" ht="12.95" customHeight="1" x14ac:dyDescent="0.25">
      <c r="A3669" s="2" t="s">
        <v>401</v>
      </c>
      <c r="B3669" s="2" t="s">
        <v>1007</v>
      </c>
      <c r="C3669" s="5" t="s">
        <v>5982</v>
      </c>
      <c r="D3669" s="2" t="s">
        <v>5983</v>
      </c>
    </row>
    <row r="3670" spans="1:4" ht="12.95" customHeight="1" x14ac:dyDescent="0.25">
      <c r="A3670" s="2" t="s">
        <v>404</v>
      </c>
      <c r="B3670" s="2" t="s">
        <v>1007</v>
      </c>
      <c r="C3670" s="5" t="s">
        <v>996</v>
      </c>
      <c r="D3670" s="2" t="s">
        <v>997</v>
      </c>
    </row>
    <row r="3671" spans="1:4" ht="12.95" customHeight="1" x14ac:dyDescent="0.25">
      <c r="A3671" s="2" t="s">
        <v>404</v>
      </c>
      <c r="B3671" s="2" t="s">
        <v>1007</v>
      </c>
      <c r="C3671" s="5" t="s">
        <v>982</v>
      </c>
      <c r="D3671" s="2" t="s">
        <v>983</v>
      </c>
    </row>
    <row r="3672" spans="1:4" ht="12.95" customHeight="1" x14ac:dyDescent="0.25">
      <c r="A3672" s="2" t="s">
        <v>407</v>
      </c>
      <c r="B3672" s="2" t="s">
        <v>1040</v>
      </c>
      <c r="C3672" s="5" t="s">
        <v>996</v>
      </c>
      <c r="D3672" s="2" t="s">
        <v>997</v>
      </c>
    </row>
    <row r="3673" spans="1:4" ht="12.95" customHeight="1" x14ac:dyDescent="0.25">
      <c r="A3673" s="2" t="s">
        <v>407</v>
      </c>
      <c r="B3673" s="2" t="s">
        <v>1040</v>
      </c>
      <c r="C3673" s="5" t="s">
        <v>984</v>
      </c>
      <c r="D3673" s="2" t="s">
        <v>5984</v>
      </c>
    </row>
    <row r="3674" spans="1:4" ht="12.95" customHeight="1" x14ac:dyDescent="0.25">
      <c r="A3674" s="2" t="s">
        <v>407</v>
      </c>
      <c r="B3674" s="2" t="s">
        <v>1040</v>
      </c>
      <c r="C3674" s="5" t="s">
        <v>986</v>
      </c>
      <c r="D3674" s="2" t="s">
        <v>5985</v>
      </c>
    </row>
    <row r="3675" spans="1:4" ht="12.95" customHeight="1" x14ac:dyDescent="0.25">
      <c r="A3675" s="2" t="s">
        <v>407</v>
      </c>
      <c r="B3675" s="2" t="s">
        <v>1040</v>
      </c>
      <c r="C3675" s="5" t="s">
        <v>988</v>
      </c>
      <c r="D3675" s="2" t="s">
        <v>5986</v>
      </c>
    </row>
    <row r="3676" spans="1:4" ht="12.95" customHeight="1" x14ac:dyDescent="0.25">
      <c r="A3676" s="2" t="s">
        <v>407</v>
      </c>
      <c r="B3676" s="2" t="s">
        <v>1040</v>
      </c>
      <c r="C3676" s="5" t="s">
        <v>990</v>
      </c>
      <c r="D3676" s="2" t="s">
        <v>5987</v>
      </c>
    </row>
    <row r="3677" spans="1:4" ht="12.95" customHeight="1" x14ac:dyDescent="0.25">
      <c r="A3677" s="2" t="s">
        <v>409</v>
      </c>
      <c r="B3677" s="2" t="s">
        <v>1040</v>
      </c>
      <c r="C3677" s="5" t="s">
        <v>996</v>
      </c>
      <c r="D3677" s="2" t="s">
        <v>997</v>
      </c>
    </row>
    <row r="3678" spans="1:4" ht="12.95" customHeight="1" x14ac:dyDescent="0.25">
      <c r="A3678" s="2" t="s">
        <v>409</v>
      </c>
      <c r="B3678" s="2" t="s">
        <v>1040</v>
      </c>
      <c r="C3678" s="5" t="s">
        <v>984</v>
      </c>
      <c r="D3678" s="2" t="s">
        <v>5988</v>
      </c>
    </row>
    <row r="3679" spans="1:4" ht="12.95" customHeight="1" x14ac:dyDescent="0.25">
      <c r="A3679" s="2" t="s">
        <v>409</v>
      </c>
      <c r="B3679" s="2" t="s">
        <v>1040</v>
      </c>
      <c r="C3679" s="5" t="s">
        <v>986</v>
      </c>
      <c r="D3679" s="2" t="s">
        <v>5989</v>
      </c>
    </row>
    <row r="3680" spans="1:4" ht="12.95" customHeight="1" x14ac:dyDescent="0.25">
      <c r="A3680" s="2" t="s">
        <v>409</v>
      </c>
      <c r="B3680" s="2" t="s">
        <v>1040</v>
      </c>
      <c r="C3680" s="5" t="s">
        <v>988</v>
      </c>
      <c r="D3680" s="2" t="s">
        <v>5990</v>
      </c>
    </row>
    <row r="3681" spans="1:4" ht="12.95" customHeight="1" x14ac:dyDescent="0.25">
      <c r="A3681" s="2" t="s">
        <v>409</v>
      </c>
      <c r="B3681" s="2" t="s">
        <v>1040</v>
      </c>
      <c r="C3681" s="5" t="s">
        <v>990</v>
      </c>
      <c r="D3681" s="2" t="s">
        <v>5991</v>
      </c>
    </row>
    <row r="3682" spans="1:4" ht="12.95" customHeight="1" x14ac:dyDescent="0.25">
      <c r="A3682" s="2" t="s">
        <v>409</v>
      </c>
      <c r="B3682" s="2" t="s">
        <v>1040</v>
      </c>
      <c r="C3682" s="5" t="s">
        <v>992</v>
      </c>
      <c r="D3682" s="2" t="s">
        <v>5992</v>
      </c>
    </row>
    <row r="3683" spans="1:4" ht="12.95" customHeight="1" x14ac:dyDescent="0.25">
      <c r="A3683" s="2" t="s">
        <v>409</v>
      </c>
      <c r="B3683" s="2" t="s">
        <v>1040</v>
      </c>
      <c r="C3683" s="5" t="s">
        <v>994</v>
      </c>
      <c r="D3683" s="2" t="s">
        <v>5993</v>
      </c>
    </row>
    <row r="3684" spans="1:4" ht="12.95" customHeight="1" x14ac:dyDescent="0.25">
      <c r="A3684" s="2" t="s">
        <v>411</v>
      </c>
      <c r="B3684" s="2" t="s">
        <v>977</v>
      </c>
      <c r="C3684" s="5" t="s">
        <v>996</v>
      </c>
      <c r="D3684" s="2" t="s">
        <v>997</v>
      </c>
    </row>
    <row r="3685" spans="1:4" ht="12.95" customHeight="1" x14ac:dyDescent="0.25">
      <c r="A3685" s="2" t="s">
        <v>411</v>
      </c>
      <c r="B3685" s="2" t="s">
        <v>977</v>
      </c>
      <c r="C3685" s="5" t="s">
        <v>978</v>
      </c>
      <c r="D3685" s="2" t="s">
        <v>1047</v>
      </c>
    </row>
    <row r="3686" spans="1:4" ht="12.95" customHeight="1" x14ac:dyDescent="0.25">
      <c r="A3686" s="2" t="s">
        <v>411</v>
      </c>
      <c r="B3686" s="2" t="s">
        <v>977</v>
      </c>
      <c r="C3686" s="5" t="s">
        <v>980</v>
      </c>
      <c r="D3686" s="2" t="s">
        <v>1041</v>
      </c>
    </row>
    <row r="3687" spans="1:4" ht="12.95" customHeight="1" x14ac:dyDescent="0.25">
      <c r="A3687" s="2" t="s">
        <v>414</v>
      </c>
      <c r="B3687" s="2" t="s">
        <v>977</v>
      </c>
      <c r="C3687" s="5" t="s">
        <v>996</v>
      </c>
      <c r="D3687" s="2" t="s">
        <v>997</v>
      </c>
    </row>
    <row r="3688" spans="1:4" ht="12.95" customHeight="1" x14ac:dyDescent="0.25">
      <c r="A3688" s="2" t="s">
        <v>414</v>
      </c>
      <c r="B3688" s="2" t="s">
        <v>977</v>
      </c>
      <c r="C3688" s="5" t="s">
        <v>978</v>
      </c>
      <c r="D3688" s="2" t="s">
        <v>1047</v>
      </c>
    </row>
    <row r="3689" spans="1:4" ht="12.95" customHeight="1" x14ac:dyDescent="0.25">
      <c r="A3689" s="2" t="s">
        <v>414</v>
      </c>
      <c r="B3689" s="2" t="s">
        <v>977</v>
      </c>
      <c r="C3689" s="5" t="s">
        <v>980</v>
      </c>
      <c r="D3689" s="2" t="s">
        <v>1041</v>
      </c>
    </row>
    <row r="3690" spans="1:4" ht="12.95" customHeight="1" x14ac:dyDescent="0.25">
      <c r="A3690" s="2" t="s">
        <v>414</v>
      </c>
      <c r="B3690" s="2" t="s">
        <v>977</v>
      </c>
      <c r="C3690" s="5" t="s">
        <v>982</v>
      </c>
      <c r="D3690" s="2" t="s">
        <v>983</v>
      </c>
    </row>
    <row r="3691" spans="1:4" ht="12.95" customHeight="1" x14ac:dyDescent="0.25">
      <c r="A3691" s="2" t="s">
        <v>417</v>
      </c>
      <c r="B3691" s="2" t="s">
        <v>1154</v>
      </c>
      <c r="C3691" s="5" t="s">
        <v>996</v>
      </c>
      <c r="D3691" s="2" t="s">
        <v>997</v>
      </c>
    </row>
    <row r="3692" spans="1:4" ht="12.95" customHeight="1" x14ac:dyDescent="0.25">
      <c r="A3692" s="2" t="s">
        <v>421</v>
      </c>
      <c r="B3692" s="2" t="s">
        <v>1154</v>
      </c>
      <c r="C3692" s="5" t="s">
        <v>996</v>
      </c>
      <c r="D3692" s="2" t="s">
        <v>997</v>
      </c>
    </row>
    <row r="3693" spans="1:4" ht="12.95" customHeight="1" x14ac:dyDescent="0.25">
      <c r="A3693" s="2" t="s">
        <v>423</v>
      </c>
      <c r="B3693" s="2" t="s">
        <v>1154</v>
      </c>
      <c r="C3693" s="5" t="s">
        <v>996</v>
      </c>
      <c r="D3693" s="2" t="s">
        <v>997</v>
      </c>
    </row>
    <row r="3694" spans="1:4" ht="12.95" customHeight="1" x14ac:dyDescent="0.25">
      <c r="A3694" s="2" t="s">
        <v>423</v>
      </c>
      <c r="B3694" s="2" t="s">
        <v>1154</v>
      </c>
      <c r="C3694" s="5" t="s">
        <v>978</v>
      </c>
      <c r="D3694" s="2" t="s">
        <v>1047</v>
      </c>
    </row>
    <row r="3695" spans="1:4" ht="12.95" customHeight="1" x14ac:dyDescent="0.25">
      <c r="A3695" s="2" t="s">
        <v>423</v>
      </c>
      <c r="B3695" s="2" t="s">
        <v>1154</v>
      </c>
      <c r="C3695" s="5" t="s">
        <v>980</v>
      </c>
      <c r="D3695" s="2" t="s">
        <v>1041</v>
      </c>
    </row>
    <row r="3696" spans="1:4" ht="12.95" customHeight="1" x14ac:dyDescent="0.25">
      <c r="A3696" s="2" t="s">
        <v>423</v>
      </c>
      <c r="B3696" s="2" t="s">
        <v>1154</v>
      </c>
      <c r="C3696" s="5" t="s">
        <v>982</v>
      </c>
      <c r="D3696" s="2" t="s">
        <v>983</v>
      </c>
    </row>
    <row r="3697" spans="1:4" ht="12.95" customHeight="1" x14ac:dyDescent="0.25">
      <c r="A3697" s="2" t="s">
        <v>426</v>
      </c>
      <c r="B3697" s="2" t="s">
        <v>977</v>
      </c>
      <c r="C3697" s="5" t="s">
        <v>996</v>
      </c>
      <c r="D3697" s="2" t="s">
        <v>997</v>
      </c>
    </row>
    <row r="3698" spans="1:4" ht="12.95" customHeight="1" x14ac:dyDescent="0.25">
      <c r="A3698" s="2" t="s">
        <v>426</v>
      </c>
      <c r="B3698" s="2" t="s">
        <v>977</v>
      </c>
      <c r="C3698" s="5" t="s">
        <v>978</v>
      </c>
      <c r="D3698" s="2" t="s">
        <v>979</v>
      </c>
    </row>
    <row r="3699" spans="1:4" ht="12.95" customHeight="1" x14ac:dyDescent="0.25">
      <c r="A3699" s="2" t="s">
        <v>426</v>
      </c>
      <c r="B3699" s="2" t="s">
        <v>977</v>
      </c>
      <c r="C3699" s="5" t="s">
        <v>980</v>
      </c>
      <c r="D3699" s="2" t="s">
        <v>981</v>
      </c>
    </row>
    <row r="3700" spans="1:4" ht="12.95" customHeight="1" x14ac:dyDescent="0.25">
      <c r="A3700" s="2" t="s">
        <v>429</v>
      </c>
      <c r="B3700" s="2" t="s">
        <v>977</v>
      </c>
      <c r="C3700" s="5" t="s">
        <v>996</v>
      </c>
      <c r="D3700" s="2" t="s">
        <v>997</v>
      </c>
    </row>
    <row r="3701" spans="1:4" ht="12.95" customHeight="1" x14ac:dyDescent="0.25">
      <c r="A3701" s="2" t="s">
        <v>429</v>
      </c>
      <c r="B3701" s="2" t="s">
        <v>977</v>
      </c>
      <c r="C3701" s="5" t="s">
        <v>978</v>
      </c>
      <c r="D3701" s="2" t="s">
        <v>979</v>
      </c>
    </row>
    <row r="3702" spans="1:4" ht="12.95" customHeight="1" x14ac:dyDescent="0.25">
      <c r="A3702" s="2" t="s">
        <v>429</v>
      </c>
      <c r="B3702" s="2" t="s">
        <v>977</v>
      </c>
      <c r="C3702" s="5" t="s">
        <v>980</v>
      </c>
      <c r="D3702" s="2" t="s">
        <v>981</v>
      </c>
    </row>
    <row r="3703" spans="1:4" ht="12.95" customHeight="1" x14ac:dyDescent="0.25">
      <c r="A3703" s="2" t="s">
        <v>429</v>
      </c>
      <c r="B3703" s="2" t="s">
        <v>977</v>
      </c>
      <c r="C3703" s="5" t="s">
        <v>982</v>
      </c>
      <c r="D3703" s="2" t="s">
        <v>983</v>
      </c>
    </row>
    <row r="3704" spans="1:4" ht="12.95" customHeight="1" x14ac:dyDescent="0.25">
      <c r="A3704" s="2" t="s">
        <v>429</v>
      </c>
      <c r="B3704" s="2" t="s">
        <v>977</v>
      </c>
      <c r="C3704" s="5" t="s">
        <v>984</v>
      </c>
      <c r="D3704" s="2" t="s">
        <v>5994</v>
      </c>
    </row>
    <row r="3705" spans="1:4" ht="12.95" customHeight="1" x14ac:dyDescent="0.25">
      <c r="A3705" s="2" t="s">
        <v>429</v>
      </c>
      <c r="B3705" s="2" t="s">
        <v>977</v>
      </c>
      <c r="C3705" s="5" t="s">
        <v>986</v>
      </c>
      <c r="D3705" s="2" t="s">
        <v>5995</v>
      </c>
    </row>
    <row r="3706" spans="1:4" ht="12.95" customHeight="1" x14ac:dyDescent="0.25">
      <c r="A3706" s="2" t="s">
        <v>429</v>
      </c>
      <c r="B3706" s="2" t="s">
        <v>977</v>
      </c>
      <c r="C3706" s="5" t="s">
        <v>988</v>
      </c>
      <c r="D3706" s="2" t="s">
        <v>5996</v>
      </c>
    </row>
    <row r="3707" spans="1:4" ht="12.95" customHeight="1" x14ac:dyDescent="0.25">
      <c r="A3707" s="2" t="s">
        <v>429</v>
      </c>
      <c r="B3707" s="2" t="s">
        <v>977</v>
      </c>
      <c r="C3707" s="5" t="s">
        <v>990</v>
      </c>
      <c r="D3707" s="2" t="s">
        <v>5997</v>
      </c>
    </row>
    <row r="3708" spans="1:4" ht="12.95" customHeight="1" x14ac:dyDescent="0.25">
      <c r="A3708" s="2" t="s">
        <v>429</v>
      </c>
      <c r="B3708" s="2" t="s">
        <v>977</v>
      </c>
      <c r="C3708" s="5" t="s">
        <v>1005</v>
      </c>
      <c r="D3708" s="2" t="s">
        <v>1037</v>
      </c>
    </row>
    <row r="3709" spans="1:4" ht="12.95" customHeight="1" x14ac:dyDescent="0.25">
      <c r="A3709" s="2" t="s">
        <v>432</v>
      </c>
      <c r="B3709" s="2" t="s">
        <v>1007</v>
      </c>
      <c r="C3709" s="5" t="s">
        <v>1168</v>
      </c>
      <c r="D3709" s="2" t="s">
        <v>979</v>
      </c>
    </row>
    <row r="3710" spans="1:4" ht="12.95" customHeight="1" x14ac:dyDescent="0.25">
      <c r="A3710" s="2" t="s">
        <v>432</v>
      </c>
      <c r="B3710" s="2" t="s">
        <v>1007</v>
      </c>
      <c r="C3710" s="5" t="s">
        <v>1169</v>
      </c>
      <c r="D3710" s="2" t="s">
        <v>981</v>
      </c>
    </row>
    <row r="3711" spans="1:4" ht="12.95" customHeight="1" x14ac:dyDescent="0.25">
      <c r="A3711" s="2" t="s">
        <v>432</v>
      </c>
      <c r="B3711" s="2" t="s">
        <v>1007</v>
      </c>
      <c r="C3711" s="5" t="s">
        <v>996</v>
      </c>
      <c r="D3711" s="2" t="s">
        <v>997</v>
      </c>
    </row>
    <row r="3712" spans="1:4" ht="12.95" customHeight="1" x14ac:dyDescent="0.25">
      <c r="A3712" s="2" t="s">
        <v>432</v>
      </c>
      <c r="B3712" s="2" t="s">
        <v>1007</v>
      </c>
      <c r="C3712" s="5" t="s">
        <v>978</v>
      </c>
      <c r="D3712" s="2" t="s">
        <v>979</v>
      </c>
    </row>
    <row r="3713" spans="1:4" ht="12.95" customHeight="1" x14ac:dyDescent="0.25">
      <c r="A3713" s="2" t="s">
        <v>432</v>
      </c>
      <c r="B3713" s="2" t="s">
        <v>1007</v>
      </c>
      <c r="C3713" s="5" t="s">
        <v>980</v>
      </c>
      <c r="D3713" s="2" t="s">
        <v>981</v>
      </c>
    </row>
    <row r="3714" spans="1:4" ht="12.95" customHeight="1" x14ac:dyDescent="0.25">
      <c r="A3714" s="2" t="s">
        <v>432</v>
      </c>
      <c r="B3714" s="2" t="s">
        <v>1007</v>
      </c>
      <c r="C3714" s="5" t="s">
        <v>982</v>
      </c>
      <c r="D3714" s="2" t="s">
        <v>983</v>
      </c>
    </row>
    <row r="3715" spans="1:4" ht="12.95" customHeight="1" x14ac:dyDescent="0.25">
      <c r="A3715" s="2" t="s">
        <v>435</v>
      </c>
      <c r="B3715" s="2" t="s">
        <v>1007</v>
      </c>
      <c r="C3715" s="5" t="s">
        <v>996</v>
      </c>
      <c r="D3715" s="2" t="s">
        <v>997</v>
      </c>
    </row>
    <row r="3716" spans="1:4" ht="12.95" customHeight="1" x14ac:dyDescent="0.25">
      <c r="A3716" s="2" t="s">
        <v>435</v>
      </c>
      <c r="B3716" s="2" t="s">
        <v>1007</v>
      </c>
      <c r="C3716" s="5" t="s">
        <v>978</v>
      </c>
      <c r="D3716" s="2" t="s">
        <v>979</v>
      </c>
    </row>
    <row r="3717" spans="1:4" ht="12.95" customHeight="1" x14ac:dyDescent="0.25">
      <c r="A3717" s="2" t="s">
        <v>435</v>
      </c>
      <c r="B3717" s="2" t="s">
        <v>1007</v>
      </c>
      <c r="C3717" s="5" t="s">
        <v>980</v>
      </c>
      <c r="D3717" s="2" t="s">
        <v>981</v>
      </c>
    </row>
    <row r="3718" spans="1:4" ht="12.95" customHeight="1" x14ac:dyDescent="0.25">
      <c r="A3718" s="2" t="s">
        <v>435</v>
      </c>
      <c r="B3718" s="2" t="s">
        <v>1007</v>
      </c>
      <c r="C3718" s="5" t="s">
        <v>982</v>
      </c>
      <c r="D3718" s="2" t="s">
        <v>983</v>
      </c>
    </row>
    <row r="3719" spans="1:4" ht="12.95" customHeight="1" x14ac:dyDescent="0.25">
      <c r="A3719" s="2" t="s">
        <v>437</v>
      </c>
      <c r="B3719" s="2" t="s">
        <v>1040</v>
      </c>
      <c r="C3719" s="5" t="s">
        <v>978</v>
      </c>
      <c r="D3719" s="2" t="s">
        <v>1047</v>
      </c>
    </row>
    <row r="3720" spans="1:4" ht="12.95" customHeight="1" x14ac:dyDescent="0.25">
      <c r="A3720" s="2" t="s">
        <v>437</v>
      </c>
      <c r="B3720" s="2" t="s">
        <v>1040</v>
      </c>
      <c r="C3720" s="5" t="s">
        <v>980</v>
      </c>
      <c r="D3720" s="2" t="s">
        <v>981</v>
      </c>
    </row>
    <row r="3721" spans="1:4" ht="12.95" customHeight="1" x14ac:dyDescent="0.25">
      <c r="A3721" s="2" t="s">
        <v>437</v>
      </c>
      <c r="B3721" s="2" t="s">
        <v>1040</v>
      </c>
      <c r="C3721" s="5" t="s">
        <v>982</v>
      </c>
      <c r="D3721" s="2" t="s">
        <v>983</v>
      </c>
    </row>
    <row r="3722" spans="1:4" ht="12.95" customHeight="1" x14ac:dyDescent="0.25">
      <c r="A3722" s="2" t="s">
        <v>437</v>
      </c>
      <c r="B3722" s="2" t="s">
        <v>1040</v>
      </c>
      <c r="C3722" s="5" t="s">
        <v>984</v>
      </c>
      <c r="D3722" s="2" t="s">
        <v>1042</v>
      </c>
    </row>
    <row r="3723" spans="1:4" ht="12.95" customHeight="1" x14ac:dyDescent="0.25">
      <c r="A3723" s="2" t="s">
        <v>437</v>
      </c>
      <c r="B3723" s="2" t="s">
        <v>1040</v>
      </c>
      <c r="C3723" s="5" t="s">
        <v>986</v>
      </c>
      <c r="D3723" s="2" t="s">
        <v>1064</v>
      </c>
    </row>
    <row r="3724" spans="1:4" ht="12.95" customHeight="1" x14ac:dyDescent="0.25">
      <c r="A3724" s="2" t="s">
        <v>437</v>
      </c>
      <c r="B3724" s="2" t="s">
        <v>1040</v>
      </c>
      <c r="C3724" s="5" t="s">
        <v>988</v>
      </c>
      <c r="D3724" s="2" t="s">
        <v>1044</v>
      </c>
    </row>
    <row r="3725" spans="1:4" ht="12.95" customHeight="1" x14ac:dyDescent="0.25">
      <c r="A3725" s="2" t="s">
        <v>437</v>
      </c>
      <c r="B3725" s="2" t="s">
        <v>1040</v>
      </c>
      <c r="C3725" s="5" t="s">
        <v>990</v>
      </c>
      <c r="D3725" s="2" t="s">
        <v>1045</v>
      </c>
    </row>
    <row r="3726" spans="1:4" ht="12.95" customHeight="1" x14ac:dyDescent="0.25">
      <c r="A3726" s="2" t="s">
        <v>437</v>
      </c>
      <c r="B3726" s="2" t="s">
        <v>1040</v>
      </c>
      <c r="C3726" s="5" t="s">
        <v>992</v>
      </c>
      <c r="D3726" s="2" t="s">
        <v>5998</v>
      </c>
    </row>
    <row r="3727" spans="1:4" ht="12.95" customHeight="1" x14ac:dyDescent="0.25">
      <c r="A3727" s="2" t="s">
        <v>440</v>
      </c>
      <c r="B3727" s="2" t="s">
        <v>1040</v>
      </c>
      <c r="C3727" s="5" t="s">
        <v>996</v>
      </c>
      <c r="D3727" s="2" t="s">
        <v>997</v>
      </c>
    </row>
    <row r="3728" spans="1:4" ht="12.95" customHeight="1" x14ac:dyDescent="0.25">
      <c r="A3728" s="2" t="s">
        <v>440</v>
      </c>
      <c r="B3728" s="2" t="s">
        <v>1040</v>
      </c>
      <c r="C3728" s="5" t="s">
        <v>982</v>
      </c>
      <c r="D3728" s="2" t="s">
        <v>983</v>
      </c>
    </row>
    <row r="3729" spans="1:4" ht="12.95" customHeight="1" x14ac:dyDescent="0.25">
      <c r="A3729" s="2" t="s">
        <v>442</v>
      </c>
      <c r="B3729" s="2" t="s">
        <v>1007</v>
      </c>
      <c r="C3729" s="5" t="s">
        <v>996</v>
      </c>
      <c r="D3729" s="2" t="s">
        <v>997</v>
      </c>
    </row>
    <row r="3730" spans="1:4" ht="12.95" customHeight="1" x14ac:dyDescent="0.25">
      <c r="A3730" s="2" t="s">
        <v>442</v>
      </c>
      <c r="B3730" s="2" t="s">
        <v>1007</v>
      </c>
      <c r="C3730" s="5" t="s">
        <v>978</v>
      </c>
      <c r="D3730" s="2" t="s">
        <v>979</v>
      </c>
    </row>
    <row r="3731" spans="1:4" ht="12.95" customHeight="1" x14ac:dyDescent="0.25">
      <c r="A3731" s="2" t="s">
        <v>442</v>
      </c>
      <c r="B3731" s="2" t="s">
        <v>1007</v>
      </c>
      <c r="C3731" s="5" t="s">
        <v>980</v>
      </c>
      <c r="D3731" s="2" t="s">
        <v>981</v>
      </c>
    </row>
    <row r="3732" spans="1:4" ht="12.95" customHeight="1" x14ac:dyDescent="0.25">
      <c r="A3732" s="2" t="s">
        <v>442</v>
      </c>
      <c r="B3732" s="2" t="s">
        <v>1007</v>
      </c>
      <c r="C3732" s="5" t="s">
        <v>982</v>
      </c>
      <c r="D3732" s="2" t="s">
        <v>983</v>
      </c>
    </row>
    <row r="3733" spans="1:4" ht="12.95" customHeight="1" x14ac:dyDescent="0.25">
      <c r="A3733" s="2" t="s">
        <v>444</v>
      </c>
      <c r="B3733" s="2" t="s">
        <v>1007</v>
      </c>
      <c r="C3733" s="5" t="s">
        <v>1168</v>
      </c>
      <c r="D3733" s="2" t="s">
        <v>1047</v>
      </c>
    </row>
    <row r="3734" spans="1:4" ht="12.95" customHeight="1" x14ac:dyDescent="0.25">
      <c r="A3734" s="2" t="s">
        <v>444</v>
      </c>
      <c r="B3734" s="2" t="s">
        <v>1007</v>
      </c>
      <c r="C3734" s="5" t="s">
        <v>1169</v>
      </c>
      <c r="D3734" s="2" t="s">
        <v>981</v>
      </c>
    </row>
    <row r="3735" spans="1:4" ht="12.95" customHeight="1" x14ac:dyDescent="0.25">
      <c r="A3735" s="2" t="s">
        <v>444</v>
      </c>
      <c r="B3735" s="2" t="s">
        <v>1007</v>
      </c>
      <c r="C3735" s="5" t="s">
        <v>996</v>
      </c>
      <c r="D3735" s="2" t="s">
        <v>997</v>
      </c>
    </row>
    <row r="3736" spans="1:4" ht="12.95" customHeight="1" x14ac:dyDescent="0.25">
      <c r="A3736" s="2" t="s">
        <v>444</v>
      </c>
      <c r="B3736" s="2" t="s">
        <v>1007</v>
      </c>
      <c r="C3736" s="5" t="s">
        <v>978</v>
      </c>
      <c r="D3736" s="2" t="s">
        <v>1047</v>
      </c>
    </row>
    <row r="3737" spans="1:4" ht="12.95" customHeight="1" x14ac:dyDescent="0.25">
      <c r="A3737" s="2" t="s">
        <v>444</v>
      </c>
      <c r="B3737" s="2" t="s">
        <v>1007</v>
      </c>
      <c r="C3737" s="5" t="s">
        <v>980</v>
      </c>
      <c r="D3737" s="2" t="s">
        <v>981</v>
      </c>
    </row>
    <row r="3738" spans="1:4" ht="12.95" customHeight="1" x14ac:dyDescent="0.25">
      <c r="A3738" s="2" t="s">
        <v>447</v>
      </c>
      <c r="B3738" s="2" t="s">
        <v>1007</v>
      </c>
      <c r="C3738" s="5" t="s">
        <v>996</v>
      </c>
      <c r="D3738" s="2" t="s">
        <v>997</v>
      </c>
    </row>
    <row r="3739" spans="1:4" ht="12.95" customHeight="1" x14ac:dyDescent="0.25">
      <c r="A3739" s="2" t="s">
        <v>447</v>
      </c>
      <c r="B3739" s="2" t="s">
        <v>1007</v>
      </c>
      <c r="C3739" s="5" t="s">
        <v>978</v>
      </c>
      <c r="D3739" s="2" t="s">
        <v>979</v>
      </c>
    </row>
    <row r="3740" spans="1:4" ht="12.95" customHeight="1" x14ac:dyDescent="0.25">
      <c r="A3740" s="2" t="s">
        <v>447</v>
      </c>
      <c r="B3740" s="2" t="s">
        <v>1007</v>
      </c>
      <c r="C3740" s="5" t="s">
        <v>980</v>
      </c>
      <c r="D3740" s="2" t="s">
        <v>981</v>
      </c>
    </row>
    <row r="3741" spans="1:4" ht="12.95" customHeight="1" x14ac:dyDescent="0.25">
      <c r="A3741" s="2" t="s">
        <v>447</v>
      </c>
      <c r="B3741" s="2" t="s">
        <v>1007</v>
      </c>
      <c r="C3741" s="5" t="s">
        <v>982</v>
      </c>
      <c r="D3741" s="2" t="s">
        <v>983</v>
      </c>
    </row>
    <row r="3742" spans="1:4" ht="12.95" customHeight="1" x14ac:dyDescent="0.25">
      <c r="A3742" s="2" t="s">
        <v>451</v>
      </c>
      <c r="B3742" s="2" t="s">
        <v>1154</v>
      </c>
      <c r="C3742" s="5" t="s">
        <v>982</v>
      </c>
      <c r="D3742" s="2" t="s">
        <v>983</v>
      </c>
    </row>
    <row r="3743" spans="1:4" ht="12.95" customHeight="1" x14ac:dyDescent="0.25">
      <c r="A3743" s="2" t="s">
        <v>451</v>
      </c>
      <c r="B3743" s="2" t="s">
        <v>1154</v>
      </c>
      <c r="C3743" s="5" t="s">
        <v>984</v>
      </c>
      <c r="D3743" s="2" t="s">
        <v>1061</v>
      </c>
    </row>
    <row r="3744" spans="1:4" ht="12.95" customHeight="1" x14ac:dyDescent="0.25">
      <c r="A3744" s="2" t="s">
        <v>451</v>
      </c>
      <c r="B3744" s="2" t="s">
        <v>1154</v>
      </c>
      <c r="C3744" s="5" t="s">
        <v>986</v>
      </c>
      <c r="D3744" s="2" t="s">
        <v>1062</v>
      </c>
    </row>
    <row r="3745" spans="1:4" ht="12.95" customHeight="1" x14ac:dyDescent="0.25">
      <c r="A3745" s="2" t="s">
        <v>453</v>
      </c>
      <c r="B3745" s="2" t="s">
        <v>1154</v>
      </c>
      <c r="C3745" s="5" t="s">
        <v>982</v>
      </c>
      <c r="D3745" s="2" t="s">
        <v>983</v>
      </c>
    </row>
    <row r="3746" spans="1:4" ht="12.95" customHeight="1" x14ac:dyDescent="0.25">
      <c r="A3746" s="2" t="s">
        <v>453</v>
      </c>
      <c r="B3746" s="2" t="s">
        <v>1154</v>
      </c>
      <c r="C3746" s="5" t="s">
        <v>984</v>
      </c>
      <c r="D3746" s="2" t="s">
        <v>1061</v>
      </c>
    </row>
    <row r="3747" spans="1:4" ht="12.95" customHeight="1" x14ac:dyDescent="0.25">
      <c r="A3747" s="2" t="s">
        <v>453</v>
      </c>
      <c r="B3747" s="2" t="s">
        <v>1154</v>
      </c>
      <c r="C3747" s="5" t="s">
        <v>986</v>
      </c>
      <c r="D3747" s="2" t="s">
        <v>1062</v>
      </c>
    </row>
    <row r="3748" spans="1:4" ht="12.95" customHeight="1" x14ac:dyDescent="0.25">
      <c r="A3748" s="2" t="s">
        <v>455</v>
      </c>
      <c r="B3748" s="2" t="s">
        <v>1154</v>
      </c>
      <c r="C3748" s="5" t="s">
        <v>982</v>
      </c>
      <c r="D3748" s="2" t="s">
        <v>983</v>
      </c>
    </row>
    <row r="3749" spans="1:4" ht="12.95" customHeight="1" x14ac:dyDescent="0.25">
      <c r="A3749" s="2" t="s">
        <v>455</v>
      </c>
      <c r="B3749" s="2" t="s">
        <v>1154</v>
      </c>
      <c r="C3749" s="5" t="s">
        <v>984</v>
      </c>
      <c r="D3749" s="2" t="s">
        <v>1061</v>
      </c>
    </row>
    <row r="3750" spans="1:4" ht="12.95" customHeight="1" x14ac:dyDescent="0.25">
      <c r="A3750" s="2" t="s">
        <v>455</v>
      </c>
      <c r="B3750" s="2" t="s">
        <v>1154</v>
      </c>
      <c r="C3750" s="5" t="s">
        <v>986</v>
      </c>
      <c r="D3750" s="2" t="s">
        <v>1062</v>
      </c>
    </row>
    <row r="3751" spans="1:4" ht="12.95" customHeight="1" x14ac:dyDescent="0.25">
      <c r="A3751" s="2" t="s">
        <v>457</v>
      </c>
      <c r="B3751" s="2" t="s">
        <v>1154</v>
      </c>
      <c r="C3751" s="5" t="s">
        <v>982</v>
      </c>
      <c r="D3751" s="2" t="s">
        <v>983</v>
      </c>
    </row>
    <row r="3752" spans="1:4" ht="12.95" customHeight="1" x14ac:dyDescent="0.25">
      <c r="A3752" s="2" t="s">
        <v>457</v>
      </c>
      <c r="B3752" s="2" t="s">
        <v>1154</v>
      </c>
      <c r="C3752" s="5" t="s">
        <v>984</v>
      </c>
      <c r="D3752" s="2" t="s">
        <v>1061</v>
      </c>
    </row>
    <row r="3753" spans="1:4" ht="12.95" customHeight="1" x14ac:dyDescent="0.25">
      <c r="A3753" s="2" t="s">
        <v>457</v>
      </c>
      <c r="B3753" s="2" t="s">
        <v>1154</v>
      </c>
      <c r="C3753" s="5" t="s">
        <v>986</v>
      </c>
      <c r="D3753" s="2" t="s">
        <v>1062</v>
      </c>
    </row>
    <row r="3754" spans="1:4" ht="12.95" customHeight="1" x14ac:dyDescent="0.25">
      <c r="A3754" s="2" t="s">
        <v>459</v>
      </c>
      <c r="B3754" s="2" t="s">
        <v>1154</v>
      </c>
      <c r="C3754" s="5" t="s">
        <v>982</v>
      </c>
      <c r="D3754" s="2" t="s">
        <v>983</v>
      </c>
    </row>
    <row r="3755" spans="1:4" ht="12.95" customHeight="1" x14ac:dyDescent="0.25">
      <c r="A3755" s="2" t="s">
        <v>459</v>
      </c>
      <c r="B3755" s="2" t="s">
        <v>1154</v>
      </c>
      <c r="C3755" s="5" t="s">
        <v>984</v>
      </c>
      <c r="D3755" s="2" t="s">
        <v>1061</v>
      </c>
    </row>
    <row r="3756" spans="1:4" ht="12.95" customHeight="1" x14ac:dyDescent="0.25">
      <c r="A3756" s="2" t="s">
        <v>459</v>
      </c>
      <c r="B3756" s="2" t="s">
        <v>1154</v>
      </c>
      <c r="C3756" s="5" t="s">
        <v>986</v>
      </c>
      <c r="D3756" s="2" t="s">
        <v>1062</v>
      </c>
    </row>
    <row r="3757" spans="1:4" ht="12.95" customHeight="1" x14ac:dyDescent="0.25">
      <c r="A3757" s="2" t="s">
        <v>461</v>
      </c>
      <c r="B3757" s="2" t="s">
        <v>1154</v>
      </c>
      <c r="C3757" s="5" t="s">
        <v>982</v>
      </c>
      <c r="D3757" s="2" t="s">
        <v>983</v>
      </c>
    </row>
    <row r="3758" spans="1:4" ht="12.95" customHeight="1" x14ac:dyDescent="0.25">
      <c r="A3758" s="2" t="s">
        <v>461</v>
      </c>
      <c r="B3758" s="2" t="s">
        <v>1154</v>
      </c>
      <c r="C3758" s="5" t="s">
        <v>984</v>
      </c>
      <c r="D3758" s="2" t="s">
        <v>1061</v>
      </c>
    </row>
    <row r="3759" spans="1:4" ht="12.95" customHeight="1" x14ac:dyDescent="0.25">
      <c r="A3759" s="2" t="s">
        <v>461</v>
      </c>
      <c r="B3759" s="2" t="s">
        <v>1154</v>
      </c>
      <c r="C3759" s="5" t="s">
        <v>986</v>
      </c>
      <c r="D3759" s="2" t="s">
        <v>1062</v>
      </c>
    </row>
    <row r="3760" spans="1:4" ht="12.95" customHeight="1" x14ac:dyDescent="0.25">
      <c r="A3760" s="2" t="s">
        <v>463</v>
      </c>
      <c r="B3760" s="2" t="s">
        <v>1154</v>
      </c>
      <c r="C3760" s="5" t="s">
        <v>982</v>
      </c>
      <c r="D3760" s="2" t="s">
        <v>983</v>
      </c>
    </row>
    <row r="3761" spans="1:4" ht="12.95" customHeight="1" x14ac:dyDescent="0.25">
      <c r="A3761" s="2" t="s">
        <v>463</v>
      </c>
      <c r="B3761" s="2" t="s">
        <v>1154</v>
      </c>
      <c r="C3761" s="5" t="s">
        <v>984</v>
      </c>
      <c r="D3761" s="2" t="s">
        <v>1061</v>
      </c>
    </row>
    <row r="3762" spans="1:4" ht="12.95" customHeight="1" x14ac:dyDescent="0.25">
      <c r="A3762" s="2" t="s">
        <v>463</v>
      </c>
      <c r="B3762" s="2" t="s">
        <v>1154</v>
      </c>
      <c r="C3762" s="5" t="s">
        <v>986</v>
      </c>
      <c r="D3762" s="2" t="s">
        <v>1062</v>
      </c>
    </row>
    <row r="3763" spans="1:4" ht="12.95" customHeight="1" x14ac:dyDescent="0.25">
      <c r="A3763" s="2" t="s">
        <v>465</v>
      </c>
      <c r="B3763" s="2" t="s">
        <v>1154</v>
      </c>
      <c r="C3763" s="5" t="s">
        <v>982</v>
      </c>
      <c r="D3763" s="2" t="s">
        <v>983</v>
      </c>
    </row>
    <row r="3764" spans="1:4" ht="12.95" customHeight="1" x14ac:dyDescent="0.25">
      <c r="A3764" s="2" t="s">
        <v>465</v>
      </c>
      <c r="B3764" s="2" t="s">
        <v>1154</v>
      </c>
      <c r="C3764" s="5" t="s">
        <v>984</v>
      </c>
      <c r="D3764" s="2" t="s">
        <v>1061</v>
      </c>
    </row>
    <row r="3765" spans="1:4" ht="12.95" customHeight="1" x14ac:dyDescent="0.25">
      <c r="A3765" s="2" t="s">
        <v>465</v>
      </c>
      <c r="B3765" s="2" t="s">
        <v>1154</v>
      </c>
      <c r="C3765" s="5" t="s">
        <v>986</v>
      </c>
      <c r="D3765" s="2" t="s">
        <v>1062</v>
      </c>
    </row>
    <row r="3766" spans="1:4" ht="12.95" customHeight="1" x14ac:dyDescent="0.25">
      <c r="A3766" s="2" t="s">
        <v>467</v>
      </c>
      <c r="B3766" s="2" t="s">
        <v>1154</v>
      </c>
      <c r="C3766" s="5" t="s">
        <v>982</v>
      </c>
      <c r="D3766" s="2" t="s">
        <v>983</v>
      </c>
    </row>
    <row r="3767" spans="1:4" ht="12.95" customHeight="1" x14ac:dyDescent="0.25">
      <c r="A3767" s="2" t="s">
        <v>467</v>
      </c>
      <c r="B3767" s="2" t="s">
        <v>1154</v>
      </c>
      <c r="C3767" s="5" t="s">
        <v>984</v>
      </c>
      <c r="D3767" s="2" t="s">
        <v>1061</v>
      </c>
    </row>
    <row r="3768" spans="1:4" ht="12.95" customHeight="1" x14ac:dyDescent="0.25">
      <c r="A3768" s="2" t="s">
        <v>467</v>
      </c>
      <c r="B3768" s="2" t="s">
        <v>1154</v>
      </c>
      <c r="C3768" s="5" t="s">
        <v>986</v>
      </c>
      <c r="D3768" s="2" t="s">
        <v>1062</v>
      </c>
    </row>
    <row r="3769" spans="1:4" ht="12.95" customHeight="1" x14ac:dyDescent="0.25">
      <c r="A3769" s="2" t="s">
        <v>469</v>
      </c>
      <c r="B3769" s="2" t="s">
        <v>1154</v>
      </c>
      <c r="C3769" s="5" t="s">
        <v>982</v>
      </c>
      <c r="D3769" s="2" t="s">
        <v>983</v>
      </c>
    </row>
    <row r="3770" spans="1:4" ht="12.95" customHeight="1" x14ac:dyDescent="0.25">
      <c r="A3770" s="2" t="s">
        <v>469</v>
      </c>
      <c r="B3770" s="2" t="s">
        <v>1154</v>
      </c>
      <c r="C3770" s="5" t="s">
        <v>984</v>
      </c>
      <c r="D3770" s="2" t="s">
        <v>1061</v>
      </c>
    </row>
    <row r="3771" spans="1:4" ht="12.95" customHeight="1" x14ac:dyDescent="0.25">
      <c r="A3771" s="2" t="s">
        <v>469</v>
      </c>
      <c r="B3771" s="2" t="s">
        <v>1154</v>
      </c>
      <c r="C3771" s="5" t="s">
        <v>986</v>
      </c>
      <c r="D3771" s="2" t="s">
        <v>1062</v>
      </c>
    </row>
    <row r="3772" spans="1:4" ht="12.95" customHeight="1" x14ac:dyDescent="0.25">
      <c r="A3772" s="2" t="s">
        <v>471</v>
      </c>
      <c r="B3772" s="2" t="s">
        <v>1154</v>
      </c>
      <c r="C3772" s="5" t="s">
        <v>982</v>
      </c>
      <c r="D3772" s="2" t="s">
        <v>983</v>
      </c>
    </row>
    <row r="3773" spans="1:4" ht="12.95" customHeight="1" x14ac:dyDescent="0.25">
      <c r="A3773" s="2" t="s">
        <v>471</v>
      </c>
      <c r="B3773" s="2" t="s">
        <v>1154</v>
      </c>
      <c r="C3773" s="5" t="s">
        <v>984</v>
      </c>
      <c r="D3773" s="2" t="s">
        <v>1061</v>
      </c>
    </row>
    <row r="3774" spans="1:4" ht="12.95" customHeight="1" x14ac:dyDescent="0.25">
      <c r="A3774" s="2" t="s">
        <v>471</v>
      </c>
      <c r="B3774" s="2" t="s">
        <v>1154</v>
      </c>
      <c r="C3774" s="5" t="s">
        <v>986</v>
      </c>
      <c r="D3774" s="2" t="s">
        <v>1062</v>
      </c>
    </row>
    <row r="3775" spans="1:4" ht="12.95" customHeight="1" x14ac:dyDescent="0.25">
      <c r="A3775" s="2" t="s">
        <v>473</v>
      </c>
      <c r="B3775" s="2" t="s">
        <v>1154</v>
      </c>
      <c r="C3775" s="5" t="s">
        <v>982</v>
      </c>
      <c r="D3775" s="2" t="s">
        <v>983</v>
      </c>
    </row>
    <row r="3776" spans="1:4" ht="12.95" customHeight="1" x14ac:dyDescent="0.25">
      <c r="A3776" s="2" t="s">
        <v>473</v>
      </c>
      <c r="B3776" s="2" t="s">
        <v>1154</v>
      </c>
      <c r="C3776" s="5" t="s">
        <v>984</v>
      </c>
      <c r="D3776" s="2" t="s">
        <v>1061</v>
      </c>
    </row>
    <row r="3777" spans="1:4" ht="12.95" customHeight="1" x14ac:dyDescent="0.25">
      <c r="A3777" s="2" t="s">
        <v>473</v>
      </c>
      <c r="B3777" s="2" t="s">
        <v>1154</v>
      </c>
      <c r="C3777" s="5" t="s">
        <v>986</v>
      </c>
      <c r="D3777" s="2" t="s">
        <v>1062</v>
      </c>
    </row>
    <row r="3778" spans="1:4" ht="12.95" customHeight="1" x14ac:dyDescent="0.25">
      <c r="A3778" s="2" t="s">
        <v>475</v>
      </c>
      <c r="B3778" s="2" t="s">
        <v>1154</v>
      </c>
      <c r="C3778" s="5" t="s">
        <v>982</v>
      </c>
      <c r="D3778" s="2" t="s">
        <v>983</v>
      </c>
    </row>
    <row r="3779" spans="1:4" ht="12.95" customHeight="1" x14ac:dyDescent="0.25">
      <c r="A3779" s="2" t="s">
        <v>475</v>
      </c>
      <c r="B3779" s="2" t="s">
        <v>1154</v>
      </c>
      <c r="C3779" s="5" t="s">
        <v>984</v>
      </c>
      <c r="D3779" s="2" t="s">
        <v>1061</v>
      </c>
    </row>
    <row r="3780" spans="1:4" ht="12.95" customHeight="1" x14ac:dyDescent="0.25">
      <c r="A3780" s="2" t="s">
        <v>475</v>
      </c>
      <c r="B3780" s="2" t="s">
        <v>1154</v>
      </c>
      <c r="C3780" s="5" t="s">
        <v>986</v>
      </c>
      <c r="D3780" s="2" t="s">
        <v>1062</v>
      </c>
    </row>
    <row r="3781" spans="1:4" ht="12.95" customHeight="1" x14ac:dyDescent="0.25">
      <c r="A3781" s="2" t="s">
        <v>477</v>
      </c>
      <c r="B3781" s="2" t="s">
        <v>1154</v>
      </c>
      <c r="C3781" s="5" t="s">
        <v>982</v>
      </c>
      <c r="D3781" s="2" t="s">
        <v>983</v>
      </c>
    </row>
    <row r="3782" spans="1:4" ht="12.95" customHeight="1" x14ac:dyDescent="0.25">
      <c r="A3782" s="2" t="s">
        <v>477</v>
      </c>
      <c r="B3782" s="2" t="s">
        <v>1154</v>
      </c>
      <c r="C3782" s="5" t="s">
        <v>984</v>
      </c>
      <c r="D3782" s="2" t="s">
        <v>1061</v>
      </c>
    </row>
    <row r="3783" spans="1:4" ht="12.95" customHeight="1" x14ac:dyDescent="0.25">
      <c r="A3783" s="2" t="s">
        <v>477</v>
      </c>
      <c r="B3783" s="2" t="s">
        <v>1154</v>
      </c>
      <c r="C3783" s="5" t="s">
        <v>986</v>
      </c>
      <c r="D3783" s="2" t="s">
        <v>1062</v>
      </c>
    </row>
    <row r="3784" spans="1:4" ht="12.95" customHeight="1" x14ac:dyDescent="0.25">
      <c r="A3784" s="2" t="s">
        <v>479</v>
      </c>
      <c r="B3784" s="2" t="s">
        <v>1154</v>
      </c>
      <c r="C3784" s="5" t="s">
        <v>982</v>
      </c>
      <c r="D3784" s="2" t="s">
        <v>983</v>
      </c>
    </row>
    <row r="3785" spans="1:4" ht="12.95" customHeight="1" x14ac:dyDescent="0.25">
      <c r="A3785" s="2" t="s">
        <v>479</v>
      </c>
      <c r="B3785" s="2" t="s">
        <v>1154</v>
      </c>
      <c r="C3785" s="5" t="s">
        <v>984</v>
      </c>
      <c r="D3785" s="2" t="s">
        <v>1061</v>
      </c>
    </row>
    <row r="3786" spans="1:4" ht="12.95" customHeight="1" x14ac:dyDescent="0.25">
      <c r="A3786" s="2" t="s">
        <v>479</v>
      </c>
      <c r="B3786" s="2" t="s">
        <v>1154</v>
      </c>
      <c r="C3786" s="5" t="s">
        <v>986</v>
      </c>
      <c r="D3786" s="2" t="s">
        <v>1062</v>
      </c>
    </row>
    <row r="3787" spans="1:4" ht="12.95" customHeight="1" x14ac:dyDescent="0.25">
      <c r="A3787" s="2" t="s">
        <v>481</v>
      </c>
      <c r="B3787" s="2" t="s">
        <v>977</v>
      </c>
      <c r="C3787" s="5" t="s">
        <v>984</v>
      </c>
      <c r="D3787" s="2" t="s">
        <v>1061</v>
      </c>
    </row>
    <row r="3788" spans="1:4" ht="12.95" customHeight="1" x14ac:dyDescent="0.25">
      <c r="A3788" s="2" t="s">
        <v>481</v>
      </c>
      <c r="B3788" s="2" t="s">
        <v>977</v>
      </c>
      <c r="C3788" s="5" t="s">
        <v>986</v>
      </c>
      <c r="D3788" s="2" t="s">
        <v>1062</v>
      </c>
    </row>
    <row r="3789" spans="1:4" ht="12.95" customHeight="1" x14ac:dyDescent="0.25">
      <c r="A3789" s="2" t="s">
        <v>483</v>
      </c>
      <c r="B3789" s="2" t="s">
        <v>977</v>
      </c>
      <c r="C3789" s="5" t="s">
        <v>984</v>
      </c>
      <c r="D3789" s="2" t="s">
        <v>1061</v>
      </c>
    </row>
    <row r="3790" spans="1:4" ht="12.95" customHeight="1" x14ac:dyDescent="0.25">
      <c r="A3790" s="2" t="s">
        <v>483</v>
      </c>
      <c r="B3790" s="2" t="s">
        <v>977</v>
      </c>
      <c r="C3790" s="5" t="s">
        <v>986</v>
      </c>
      <c r="D3790" s="2" t="s">
        <v>1062</v>
      </c>
    </row>
    <row r="3791" spans="1:4" ht="12.95" customHeight="1" x14ac:dyDescent="0.25">
      <c r="A3791" s="2" t="s">
        <v>485</v>
      </c>
      <c r="B3791" s="2" t="s">
        <v>1040</v>
      </c>
      <c r="C3791" s="5" t="s">
        <v>978</v>
      </c>
      <c r="D3791" s="2" t="s">
        <v>1047</v>
      </c>
    </row>
    <row r="3792" spans="1:4" ht="12.95" customHeight="1" x14ac:dyDescent="0.25">
      <c r="A3792" s="2" t="s">
        <v>485</v>
      </c>
      <c r="B3792" s="2" t="s">
        <v>1040</v>
      </c>
      <c r="C3792" s="5" t="s">
        <v>980</v>
      </c>
      <c r="D3792" s="2" t="s">
        <v>981</v>
      </c>
    </row>
    <row r="3793" spans="1:4" ht="12.95" customHeight="1" x14ac:dyDescent="0.25">
      <c r="A3793" s="2" t="s">
        <v>485</v>
      </c>
      <c r="B3793" s="2" t="s">
        <v>1040</v>
      </c>
      <c r="C3793" s="5" t="s">
        <v>982</v>
      </c>
      <c r="D3793" s="2" t="s">
        <v>983</v>
      </c>
    </row>
    <row r="3794" spans="1:4" ht="12.95" customHeight="1" x14ac:dyDescent="0.25">
      <c r="A3794" s="2" t="s">
        <v>485</v>
      </c>
      <c r="B3794" s="2" t="s">
        <v>1040</v>
      </c>
      <c r="C3794" s="5" t="s">
        <v>984</v>
      </c>
      <c r="D3794" s="2" t="s">
        <v>1042</v>
      </c>
    </row>
    <row r="3795" spans="1:4" ht="12.95" customHeight="1" x14ac:dyDescent="0.25">
      <c r="A3795" s="2" t="s">
        <v>485</v>
      </c>
      <c r="B3795" s="2" t="s">
        <v>1040</v>
      </c>
      <c r="C3795" s="5" t="s">
        <v>986</v>
      </c>
      <c r="D3795" s="2" t="s">
        <v>1064</v>
      </c>
    </row>
    <row r="3796" spans="1:4" ht="12.95" customHeight="1" x14ac:dyDescent="0.25">
      <c r="A3796" s="2" t="s">
        <v>485</v>
      </c>
      <c r="B3796" s="2" t="s">
        <v>1040</v>
      </c>
      <c r="C3796" s="5" t="s">
        <v>988</v>
      </c>
      <c r="D3796" s="2" t="s">
        <v>1044</v>
      </c>
    </row>
    <row r="3797" spans="1:4" ht="12.95" customHeight="1" x14ac:dyDescent="0.25">
      <c r="A3797" s="2" t="s">
        <v>485</v>
      </c>
      <c r="B3797" s="2" t="s">
        <v>1040</v>
      </c>
      <c r="C3797" s="5" t="s">
        <v>990</v>
      </c>
      <c r="D3797" s="2" t="s">
        <v>1045</v>
      </c>
    </row>
    <row r="3798" spans="1:4" ht="12.95" customHeight="1" x14ac:dyDescent="0.25">
      <c r="A3798" s="2" t="s">
        <v>485</v>
      </c>
      <c r="B3798" s="2" t="s">
        <v>1040</v>
      </c>
      <c r="C3798" s="5" t="s">
        <v>992</v>
      </c>
      <c r="D3798" s="2" t="s">
        <v>5998</v>
      </c>
    </row>
    <row r="3799" spans="1:4" ht="12.95" customHeight="1" x14ac:dyDescent="0.25">
      <c r="A3799" s="2" t="s">
        <v>488</v>
      </c>
      <c r="B3799" s="2" t="s">
        <v>977</v>
      </c>
      <c r="C3799" s="5" t="s">
        <v>978</v>
      </c>
      <c r="D3799" s="2" t="s">
        <v>1047</v>
      </c>
    </row>
    <row r="3800" spans="1:4" ht="12.95" customHeight="1" x14ac:dyDescent="0.25">
      <c r="A3800" s="2" t="s">
        <v>488</v>
      </c>
      <c r="B3800" s="2" t="s">
        <v>977</v>
      </c>
      <c r="C3800" s="5" t="s">
        <v>980</v>
      </c>
      <c r="D3800" s="2" t="s">
        <v>1041</v>
      </c>
    </row>
    <row r="3801" spans="1:4" ht="12.95" customHeight="1" x14ac:dyDescent="0.25">
      <c r="A3801" s="2" t="s">
        <v>488</v>
      </c>
      <c r="B3801" s="2" t="s">
        <v>977</v>
      </c>
      <c r="C3801" s="5" t="s">
        <v>982</v>
      </c>
      <c r="D3801" s="2" t="s">
        <v>983</v>
      </c>
    </row>
    <row r="3802" spans="1:4" ht="12.95" customHeight="1" x14ac:dyDescent="0.25">
      <c r="A3802" s="2" t="s">
        <v>488</v>
      </c>
      <c r="B3802" s="2" t="s">
        <v>977</v>
      </c>
      <c r="C3802" s="5" t="s">
        <v>984</v>
      </c>
      <c r="D3802" s="2" t="s">
        <v>1061</v>
      </c>
    </row>
    <row r="3803" spans="1:4" ht="12.95" customHeight="1" x14ac:dyDescent="0.25">
      <c r="A3803" s="2" t="s">
        <v>488</v>
      </c>
      <c r="B3803" s="2" t="s">
        <v>977</v>
      </c>
      <c r="C3803" s="5" t="s">
        <v>986</v>
      </c>
      <c r="D3803" s="2" t="s">
        <v>1062</v>
      </c>
    </row>
    <row r="3804" spans="1:4" ht="12.95" customHeight="1" x14ac:dyDescent="0.25">
      <c r="A3804" s="2" t="s">
        <v>491</v>
      </c>
      <c r="B3804" s="2" t="s">
        <v>1040</v>
      </c>
      <c r="C3804" s="5" t="s">
        <v>978</v>
      </c>
      <c r="D3804" s="2" t="s">
        <v>1047</v>
      </c>
    </row>
    <row r="3805" spans="1:4" ht="12.95" customHeight="1" x14ac:dyDescent="0.25">
      <c r="A3805" s="2" t="s">
        <v>491</v>
      </c>
      <c r="B3805" s="2" t="s">
        <v>1040</v>
      </c>
      <c r="C3805" s="5" t="s">
        <v>980</v>
      </c>
      <c r="D3805" s="2" t="s">
        <v>981</v>
      </c>
    </row>
    <row r="3806" spans="1:4" ht="12.95" customHeight="1" x14ac:dyDescent="0.25">
      <c r="A3806" s="2" t="s">
        <v>491</v>
      </c>
      <c r="B3806" s="2" t="s">
        <v>1040</v>
      </c>
      <c r="C3806" s="5" t="s">
        <v>982</v>
      </c>
      <c r="D3806" s="2" t="s">
        <v>983</v>
      </c>
    </row>
    <row r="3807" spans="1:4" ht="12.95" customHeight="1" x14ac:dyDescent="0.25">
      <c r="A3807" s="2" t="s">
        <v>491</v>
      </c>
      <c r="B3807" s="2" t="s">
        <v>1040</v>
      </c>
      <c r="C3807" s="5" t="s">
        <v>984</v>
      </c>
      <c r="D3807" s="2" t="s">
        <v>1063</v>
      </c>
    </row>
    <row r="3808" spans="1:4" ht="12.95" customHeight="1" x14ac:dyDescent="0.25">
      <c r="A3808" s="2" t="s">
        <v>491</v>
      </c>
      <c r="B3808" s="2" t="s">
        <v>1040</v>
      </c>
      <c r="C3808" s="5" t="s">
        <v>986</v>
      </c>
      <c r="D3808" s="2" t="s">
        <v>1043</v>
      </c>
    </row>
    <row r="3809" spans="1:4" ht="12.95" customHeight="1" x14ac:dyDescent="0.25">
      <c r="A3809" s="2" t="s">
        <v>491</v>
      </c>
      <c r="B3809" s="2" t="s">
        <v>1040</v>
      </c>
      <c r="C3809" s="5" t="s">
        <v>988</v>
      </c>
      <c r="D3809" s="2" t="s">
        <v>1044</v>
      </c>
    </row>
    <row r="3810" spans="1:4" ht="12.95" customHeight="1" x14ac:dyDescent="0.25">
      <c r="A3810" s="2" t="s">
        <v>491</v>
      </c>
      <c r="B3810" s="2" t="s">
        <v>1040</v>
      </c>
      <c r="C3810" s="5" t="s">
        <v>990</v>
      </c>
      <c r="D3810" s="2" t="s">
        <v>1045</v>
      </c>
    </row>
    <row r="3811" spans="1:4" ht="12.95" customHeight="1" x14ac:dyDescent="0.25">
      <c r="A3811" s="2" t="s">
        <v>491</v>
      </c>
      <c r="B3811" s="2" t="s">
        <v>1040</v>
      </c>
      <c r="C3811" s="5" t="s">
        <v>992</v>
      </c>
      <c r="D3811" s="2" t="s">
        <v>5998</v>
      </c>
    </row>
    <row r="3812" spans="1:4" ht="12.95" customHeight="1" x14ac:dyDescent="0.25">
      <c r="A3812" s="2" t="s">
        <v>498</v>
      </c>
      <c r="B3812" s="2" t="s">
        <v>977</v>
      </c>
      <c r="C3812" s="5" t="s">
        <v>996</v>
      </c>
      <c r="D3812" s="2" t="s">
        <v>997</v>
      </c>
    </row>
    <row r="3813" spans="1:4" ht="12.95" customHeight="1" x14ac:dyDescent="0.25">
      <c r="A3813" s="2" t="s">
        <v>498</v>
      </c>
      <c r="B3813" s="2" t="s">
        <v>977</v>
      </c>
      <c r="C3813" s="5" t="s">
        <v>978</v>
      </c>
      <c r="D3813" s="2" t="s">
        <v>979</v>
      </c>
    </row>
    <row r="3814" spans="1:4" ht="12.95" customHeight="1" x14ac:dyDescent="0.25">
      <c r="A3814" s="2" t="s">
        <v>498</v>
      </c>
      <c r="B3814" s="2" t="s">
        <v>977</v>
      </c>
      <c r="C3814" s="5" t="s">
        <v>980</v>
      </c>
      <c r="D3814" s="2" t="s">
        <v>981</v>
      </c>
    </row>
    <row r="3815" spans="1:4" ht="12.95" customHeight="1" x14ac:dyDescent="0.25">
      <c r="A3815" s="2" t="s">
        <v>498</v>
      </c>
      <c r="B3815" s="2" t="s">
        <v>977</v>
      </c>
      <c r="C3815" s="5" t="s">
        <v>984</v>
      </c>
      <c r="D3815" s="2" t="s">
        <v>5999</v>
      </c>
    </row>
    <row r="3816" spans="1:4" ht="12.95" customHeight="1" x14ac:dyDescent="0.25">
      <c r="A3816" s="2" t="s">
        <v>498</v>
      </c>
      <c r="B3816" s="2" t="s">
        <v>977</v>
      </c>
      <c r="C3816" s="5" t="s">
        <v>986</v>
      </c>
      <c r="D3816" s="2" t="s">
        <v>6000</v>
      </c>
    </row>
    <row r="3817" spans="1:4" ht="12.95" customHeight="1" x14ac:dyDescent="0.25">
      <c r="A3817" s="2" t="s">
        <v>498</v>
      </c>
      <c r="B3817" s="2" t="s">
        <v>977</v>
      </c>
      <c r="C3817" s="5" t="s">
        <v>988</v>
      </c>
      <c r="D3817" s="2" t="s">
        <v>6001</v>
      </c>
    </row>
    <row r="3818" spans="1:4" ht="12.95" customHeight="1" x14ac:dyDescent="0.25">
      <c r="A3818" s="2" t="s">
        <v>501</v>
      </c>
      <c r="B3818" s="2" t="s">
        <v>1040</v>
      </c>
      <c r="C3818" s="5" t="s">
        <v>978</v>
      </c>
      <c r="D3818" s="2" t="s">
        <v>979</v>
      </c>
    </row>
    <row r="3819" spans="1:4" ht="12.95" customHeight="1" x14ac:dyDescent="0.25">
      <c r="A3819" s="2" t="s">
        <v>501</v>
      </c>
      <c r="B3819" s="2" t="s">
        <v>1040</v>
      </c>
      <c r="C3819" s="5" t="s">
        <v>980</v>
      </c>
      <c r="D3819" s="2" t="s">
        <v>981</v>
      </c>
    </row>
    <row r="3820" spans="1:4" ht="12.95" customHeight="1" x14ac:dyDescent="0.25">
      <c r="A3820" s="2" t="s">
        <v>501</v>
      </c>
      <c r="B3820" s="2" t="s">
        <v>1040</v>
      </c>
      <c r="C3820" s="5" t="s">
        <v>982</v>
      </c>
      <c r="D3820" s="2" t="s">
        <v>983</v>
      </c>
    </row>
    <row r="3821" spans="1:4" ht="12.95" customHeight="1" x14ac:dyDescent="0.25">
      <c r="A3821" s="2" t="s">
        <v>501</v>
      </c>
      <c r="B3821" s="2" t="s">
        <v>1040</v>
      </c>
      <c r="C3821" s="5" t="s">
        <v>984</v>
      </c>
      <c r="D3821" s="2" t="s">
        <v>1048</v>
      </c>
    </row>
    <row r="3822" spans="1:4" ht="12.95" customHeight="1" x14ac:dyDescent="0.25">
      <c r="A3822" s="2" t="s">
        <v>501</v>
      </c>
      <c r="B3822" s="2" t="s">
        <v>1040</v>
      </c>
      <c r="C3822" s="5" t="s">
        <v>986</v>
      </c>
      <c r="D3822" s="2" t="s">
        <v>1049</v>
      </c>
    </row>
    <row r="3823" spans="1:4" ht="12.95" customHeight="1" x14ac:dyDescent="0.25">
      <c r="A3823" s="2" t="s">
        <v>501</v>
      </c>
      <c r="B3823" s="2" t="s">
        <v>1040</v>
      </c>
      <c r="C3823" s="5" t="s">
        <v>988</v>
      </c>
      <c r="D3823" s="2" t="s">
        <v>1050</v>
      </c>
    </row>
    <row r="3824" spans="1:4" ht="12.95" customHeight="1" x14ac:dyDescent="0.25">
      <c r="A3824" s="2" t="s">
        <v>501</v>
      </c>
      <c r="B3824" s="2" t="s">
        <v>1040</v>
      </c>
      <c r="C3824" s="5" t="s">
        <v>990</v>
      </c>
      <c r="D3824" s="2" t="s">
        <v>1051</v>
      </c>
    </row>
    <row r="3825" spans="1:4" ht="12.95" customHeight="1" x14ac:dyDescent="0.25">
      <c r="A3825" s="2" t="s">
        <v>501</v>
      </c>
      <c r="B3825" s="2" t="s">
        <v>1040</v>
      </c>
      <c r="C3825" s="5" t="s">
        <v>992</v>
      </c>
      <c r="D3825" s="2" t="s">
        <v>1052</v>
      </c>
    </row>
    <row r="3826" spans="1:4" ht="12.95" customHeight="1" x14ac:dyDescent="0.25">
      <c r="A3826" s="2" t="s">
        <v>504</v>
      </c>
      <c r="B3826" s="2" t="s">
        <v>1040</v>
      </c>
      <c r="C3826" s="5" t="s">
        <v>978</v>
      </c>
      <c r="D3826" s="2" t="s">
        <v>979</v>
      </c>
    </row>
    <row r="3827" spans="1:4" ht="12.95" customHeight="1" x14ac:dyDescent="0.25">
      <c r="A3827" s="2" t="s">
        <v>504</v>
      </c>
      <c r="B3827" s="2" t="s">
        <v>1040</v>
      </c>
      <c r="C3827" s="5" t="s">
        <v>980</v>
      </c>
      <c r="D3827" s="2" t="s">
        <v>981</v>
      </c>
    </row>
    <row r="3828" spans="1:4" ht="12.95" customHeight="1" x14ac:dyDescent="0.25">
      <c r="A3828" s="2" t="s">
        <v>504</v>
      </c>
      <c r="B3828" s="2" t="s">
        <v>1040</v>
      </c>
      <c r="C3828" s="5" t="s">
        <v>982</v>
      </c>
      <c r="D3828" s="2" t="s">
        <v>983</v>
      </c>
    </row>
    <row r="3829" spans="1:4" ht="12.95" customHeight="1" x14ac:dyDescent="0.25">
      <c r="A3829" s="2" t="s">
        <v>504</v>
      </c>
      <c r="B3829" s="2" t="s">
        <v>1040</v>
      </c>
      <c r="C3829" s="5" t="s">
        <v>984</v>
      </c>
      <c r="D3829" s="2" t="s">
        <v>1048</v>
      </c>
    </row>
    <row r="3830" spans="1:4" ht="12.95" customHeight="1" x14ac:dyDescent="0.25">
      <c r="A3830" s="2" t="s">
        <v>504</v>
      </c>
      <c r="B3830" s="2" t="s">
        <v>1040</v>
      </c>
      <c r="C3830" s="5" t="s">
        <v>986</v>
      </c>
      <c r="D3830" s="2" t="s">
        <v>1049</v>
      </c>
    </row>
    <row r="3831" spans="1:4" ht="12.95" customHeight="1" x14ac:dyDescent="0.25">
      <c r="A3831" s="2" t="s">
        <v>504</v>
      </c>
      <c r="B3831" s="2" t="s">
        <v>1040</v>
      </c>
      <c r="C3831" s="5" t="s">
        <v>988</v>
      </c>
      <c r="D3831" s="2" t="s">
        <v>1050</v>
      </c>
    </row>
    <row r="3832" spans="1:4" ht="12.95" customHeight="1" x14ac:dyDescent="0.25">
      <c r="A3832" s="2" t="s">
        <v>504</v>
      </c>
      <c r="B3832" s="2" t="s">
        <v>1040</v>
      </c>
      <c r="C3832" s="5" t="s">
        <v>990</v>
      </c>
      <c r="D3832" s="2" t="s">
        <v>1051</v>
      </c>
    </row>
    <row r="3833" spans="1:4" ht="12.95" customHeight="1" x14ac:dyDescent="0.25">
      <c r="A3833" s="2" t="s">
        <v>504</v>
      </c>
      <c r="B3833" s="2" t="s">
        <v>1040</v>
      </c>
      <c r="C3833" s="5" t="s">
        <v>992</v>
      </c>
      <c r="D3833" s="2" t="s">
        <v>1052</v>
      </c>
    </row>
    <row r="3834" spans="1:4" ht="12.95" customHeight="1" x14ac:dyDescent="0.25">
      <c r="A3834" s="2" t="s">
        <v>507</v>
      </c>
      <c r="B3834" s="2" t="s">
        <v>977</v>
      </c>
      <c r="C3834" s="5" t="s">
        <v>996</v>
      </c>
      <c r="D3834" s="2" t="s">
        <v>997</v>
      </c>
    </row>
    <row r="3835" spans="1:4" ht="12.95" customHeight="1" x14ac:dyDescent="0.25">
      <c r="A3835" s="2" t="s">
        <v>507</v>
      </c>
      <c r="B3835" s="2" t="s">
        <v>977</v>
      </c>
      <c r="C3835" s="5" t="s">
        <v>978</v>
      </c>
      <c r="D3835" s="2" t="s">
        <v>979</v>
      </c>
    </row>
    <row r="3836" spans="1:4" ht="12.95" customHeight="1" x14ac:dyDescent="0.25">
      <c r="A3836" s="2" t="s">
        <v>507</v>
      </c>
      <c r="B3836" s="2" t="s">
        <v>977</v>
      </c>
      <c r="C3836" s="5" t="s">
        <v>980</v>
      </c>
      <c r="D3836" s="2" t="s">
        <v>981</v>
      </c>
    </row>
    <row r="3837" spans="1:4" ht="12.95" customHeight="1" x14ac:dyDescent="0.25">
      <c r="A3837" s="2" t="s">
        <v>507</v>
      </c>
      <c r="B3837" s="2" t="s">
        <v>977</v>
      </c>
      <c r="C3837" s="5" t="s">
        <v>982</v>
      </c>
      <c r="D3837" s="2" t="s">
        <v>983</v>
      </c>
    </row>
    <row r="3838" spans="1:4" ht="12.95" customHeight="1" x14ac:dyDescent="0.25">
      <c r="A3838" s="2" t="s">
        <v>507</v>
      </c>
      <c r="B3838" s="2" t="s">
        <v>977</v>
      </c>
      <c r="C3838" s="5" t="s">
        <v>984</v>
      </c>
      <c r="D3838" s="2" t="s">
        <v>6002</v>
      </c>
    </row>
    <row r="3839" spans="1:4" ht="12.95" customHeight="1" x14ac:dyDescent="0.25">
      <c r="A3839" s="2" t="s">
        <v>507</v>
      </c>
      <c r="B3839" s="2" t="s">
        <v>977</v>
      </c>
      <c r="C3839" s="5" t="s">
        <v>986</v>
      </c>
      <c r="D3839" s="2" t="s">
        <v>6003</v>
      </c>
    </row>
    <row r="3840" spans="1:4" ht="12.95" customHeight="1" x14ac:dyDescent="0.25">
      <c r="A3840" s="2" t="s">
        <v>507</v>
      </c>
      <c r="B3840" s="2" t="s">
        <v>977</v>
      </c>
      <c r="C3840" s="5" t="s">
        <v>988</v>
      </c>
      <c r="D3840" s="2" t="s">
        <v>6004</v>
      </c>
    </row>
    <row r="3841" spans="1:4" ht="12.95" customHeight="1" x14ac:dyDescent="0.25">
      <c r="A3841" s="2" t="s">
        <v>507</v>
      </c>
      <c r="B3841" s="2" t="s">
        <v>977</v>
      </c>
      <c r="C3841" s="5" t="s">
        <v>990</v>
      </c>
      <c r="D3841" s="2" t="s">
        <v>6005</v>
      </c>
    </row>
    <row r="3842" spans="1:4" ht="12.95" customHeight="1" x14ac:dyDescent="0.25">
      <c r="A3842" s="2" t="s">
        <v>507</v>
      </c>
      <c r="B3842" s="2" t="s">
        <v>977</v>
      </c>
      <c r="C3842" s="5" t="s">
        <v>992</v>
      </c>
      <c r="D3842" s="2" t="s">
        <v>6006</v>
      </c>
    </row>
    <row r="3843" spans="1:4" ht="12.95" customHeight="1" x14ac:dyDescent="0.25">
      <c r="A3843" s="2" t="s">
        <v>507</v>
      </c>
      <c r="B3843" s="2" t="s">
        <v>977</v>
      </c>
      <c r="C3843" s="5" t="s">
        <v>994</v>
      </c>
      <c r="D3843" s="2" t="s">
        <v>6007</v>
      </c>
    </row>
    <row r="3844" spans="1:4" ht="12.95" customHeight="1" x14ac:dyDescent="0.25">
      <c r="A3844" s="2" t="s">
        <v>507</v>
      </c>
      <c r="B3844" s="2" t="s">
        <v>977</v>
      </c>
      <c r="C3844" s="5" t="s">
        <v>1005</v>
      </c>
      <c r="D3844" s="2" t="s">
        <v>1037</v>
      </c>
    </row>
    <row r="3845" spans="1:4" ht="12.95" customHeight="1" x14ac:dyDescent="0.25">
      <c r="A3845" s="2" t="s">
        <v>510</v>
      </c>
      <c r="B3845" s="2" t="s">
        <v>977</v>
      </c>
      <c r="C3845" s="5" t="s">
        <v>984</v>
      </c>
      <c r="D3845" s="2" t="s">
        <v>6008</v>
      </c>
    </row>
    <row r="3846" spans="1:4" ht="12.95" customHeight="1" x14ac:dyDescent="0.25">
      <c r="A3846" s="2" t="s">
        <v>510</v>
      </c>
      <c r="B3846" s="2" t="s">
        <v>977</v>
      </c>
      <c r="C3846" s="5" t="s">
        <v>986</v>
      </c>
      <c r="D3846" s="2" t="s">
        <v>6009</v>
      </c>
    </row>
    <row r="3847" spans="1:4" ht="12.95" customHeight="1" x14ac:dyDescent="0.25">
      <c r="A3847" s="2" t="s">
        <v>512</v>
      </c>
      <c r="B3847" s="2" t="s">
        <v>1154</v>
      </c>
      <c r="C3847" s="5" t="s">
        <v>982</v>
      </c>
      <c r="D3847" s="2" t="s">
        <v>983</v>
      </c>
    </row>
    <row r="3848" spans="1:4" ht="12.95" customHeight="1" x14ac:dyDescent="0.25">
      <c r="A3848" s="2" t="s">
        <v>512</v>
      </c>
      <c r="B3848" s="2" t="s">
        <v>1154</v>
      </c>
      <c r="C3848" s="5" t="s">
        <v>984</v>
      </c>
      <c r="D3848" s="2" t="s">
        <v>1061</v>
      </c>
    </row>
    <row r="3849" spans="1:4" ht="12.95" customHeight="1" x14ac:dyDescent="0.25">
      <c r="A3849" s="2" t="s">
        <v>512</v>
      </c>
      <c r="B3849" s="2" t="s">
        <v>1154</v>
      </c>
      <c r="C3849" s="5" t="s">
        <v>986</v>
      </c>
      <c r="D3849" s="2" t="s">
        <v>1062</v>
      </c>
    </row>
    <row r="3850" spans="1:4" ht="12.95" customHeight="1" x14ac:dyDescent="0.25">
      <c r="A3850" s="2" t="s">
        <v>514</v>
      </c>
      <c r="B3850" s="2" t="s">
        <v>1040</v>
      </c>
      <c r="C3850" s="5" t="s">
        <v>978</v>
      </c>
      <c r="D3850" s="2" t="s">
        <v>1047</v>
      </c>
    </row>
    <row r="3851" spans="1:4" ht="12.95" customHeight="1" x14ac:dyDescent="0.25">
      <c r="A3851" s="2" t="s">
        <v>514</v>
      </c>
      <c r="B3851" s="2" t="s">
        <v>1040</v>
      </c>
      <c r="C3851" s="5" t="s">
        <v>980</v>
      </c>
      <c r="D3851" s="2" t="s">
        <v>981</v>
      </c>
    </row>
    <row r="3852" spans="1:4" ht="12.95" customHeight="1" x14ac:dyDescent="0.25">
      <c r="A3852" s="2" t="s">
        <v>514</v>
      </c>
      <c r="B3852" s="2" t="s">
        <v>1040</v>
      </c>
      <c r="C3852" s="5" t="s">
        <v>982</v>
      </c>
      <c r="D3852" s="2" t="s">
        <v>983</v>
      </c>
    </row>
    <row r="3853" spans="1:4" ht="12.95" customHeight="1" x14ac:dyDescent="0.25">
      <c r="A3853" s="2" t="s">
        <v>514</v>
      </c>
      <c r="B3853" s="2" t="s">
        <v>1040</v>
      </c>
      <c r="C3853" s="5" t="s">
        <v>984</v>
      </c>
      <c r="D3853" s="2" t="s">
        <v>1048</v>
      </c>
    </row>
    <row r="3854" spans="1:4" ht="12.95" customHeight="1" x14ac:dyDescent="0.25">
      <c r="A3854" s="2" t="s">
        <v>514</v>
      </c>
      <c r="B3854" s="2" t="s">
        <v>1040</v>
      </c>
      <c r="C3854" s="5" t="s">
        <v>986</v>
      </c>
      <c r="D3854" s="2" t="s">
        <v>1049</v>
      </c>
    </row>
    <row r="3855" spans="1:4" ht="12.95" customHeight="1" x14ac:dyDescent="0.25">
      <c r="A3855" s="2" t="s">
        <v>514</v>
      </c>
      <c r="B3855" s="2" t="s">
        <v>1040</v>
      </c>
      <c r="C3855" s="5" t="s">
        <v>988</v>
      </c>
      <c r="D3855" s="2" t="s">
        <v>1050</v>
      </c>
    </row>
    <row r="3856" spans="1:4" ht="12.95" customHeight="1" x14ac:dyDescent="0.25">
      <c r="A3856" s="2" t="s">
        <v>514</v>
      </c>
      <c r="B3856" s="2" t="s">
        <v>1040</v>
      </c>
      <c r="C3856" s="5" t="s">
        <v>990</v>
      </c>
      <c r="D3856" s="2" t="s">
        <v>1051</v>
      </c>
    </row>
    <row r="3857" spans="1:4" ht="12.95" customHeight="1" x14ac:dyDescent="0.25">
      <c r="A3857" s="2" t="s">
        <v>514</v>
      </c>
      <c r="B3857" s="2" t="s">
        <v>1040</v>
      </c>
      <c r="C3857" s="5" t="s">
        <v>992</v>
      </c>
      <c r="D3857" s="2" t="s">
        <v>1052</v>
      </c>
    </row>
    <row r="3858" spans="1:4" ht="12.95" customHeight="1" x14ac:dyDescent="0.25">
      <c r="A3858" s="2" t="s">
        <v>517</v>
      </c>
      <c r="B3858" s="2" t="s">
        <v>977</v>
      </c>
      <c r="C3858" s="5" t="s">
        <v>996</v>
      </c>
      <c r="D3858" s="2" t="s">
        <v>997</v>
      </c>
    </row>
    <row r="3859" spans="1:4" ht="12.95" customHeight="1" x14ac:dyDescent="0.25">
      <c r="A3859" s="2" t="s">
        <v>517</v>
      </c>
      <c r="B3859" s="2" t="s">
        <v>977</v>
      </c>
      <c r="C3859" s="5" t="s">
        <v>978</v>
      </c>
      <c r="D3859" s="2" t="s">
        <v>1047</v>
      </c>
    </row>
    <row r="3860" spans="1:4" ht="12.95" customHeight="1" x14ac:dyDescent="0.25">
      <c r="A3860" s="2" t="s">
        <v>517</v>
      </c>
      <c r="B3860" s="2" t="s">
        <v>977</v>
      </c>
      <c r="C3860" s="5" t="s">
        <v>980</v>
      </c>
      <c r="D3860" s="2" t="s">
        <v>1041</v>
      </c>
    </row>
    <row r="3861" spans="1:4" ht="12.95" customHeight="1" x14ac:dyDescent="0.25">
      <c r="A3861" s="2" t="s">
        <v>520</v>
      </c>
      <c r="B3861" s="2" t="s">
        <v>977</v>
      </c>
      <c r="C3861" s="5" t="s">
        <v>996</v>
      </c>
      <c r="D3861" s="2" t="s">
        <v>997</v>
      </c>
    </row>
    <row r="3862" spans="1:4" ht="12.95" customHeight="1" x14ac:dyDescent="0.25">
      <c r="A3862" s="2" t="s">
        <v>520</v>
      </c>
      <c r="B3862" s="2" t="s">
        <v>977</v>
      </c>
      <c r="C3862" s="5" t="s">
        <v>978</v>
      </c>
      <c r="D3862" s="2" t="s">
        <v>979</v>
      </c>
    </row>
    <row r="3863" spans="1:4" ht="12.95" customHeight="1" x14ac:dyDescent="0.25">
      <c r="A3863" s="2" t="s">
        <v>520</v>
      </c>
      <c r="B3863" s="2" t="s">
        <v>977</v>
      </c>
      <c r="C3863" s="5" t="s">
        <v>980</v>
      </c>
      <c r="D3863" s="2" t="s">
        <v>981</v>
      </c>
    </row>
    <row r="3864" spans="1:4" ht="12.95" customHeight="1" x14ac:dyDescent="0.25">
      <c r="A3864" s="2" t="s">
        <v>520</v>
      </c>
      <c r="B3864" s="2" t="s">
        <v>977</v>
      </c>
      <c r="C3864" s="5" t="s">
        <v>982</v>
      </c>
      <c r="D3864" s="2" t="s">
        <v>983</v>
      </c>
    </row>
    <row r="3865" spans="1:4" ht="12.95" customHeight="1" x14ac:dyDescent="0.25">
      <c r="A3865" s="2" t="s">
        <v>523</v>
      </c>
      <c r="B3865" s="2" t="s">
        <v>1154</v>
      </c>
      <c r="C3865" s="5" t="s">
        <v>984</v>
      </c>
      <c r="D3865" s="2" t="s">
        <v>1061</v>
      </c>
    </row>
    <row r="3866" spans="1:4" ht="12.95" customHeight="1" x14ac:dyDescent="0.25">
      <c r="A3866" s="2" t="s">
        <v>523</v>
      </c>
      <c r="B3866" s="2" t="s">
        <v>1154</v>
      </c>
      <c r="C3866" s="5" t="s">
        <v>986</v>
      </c>
      <c r="D3866" s="2" t="s">
        <v>1062</v>
      </c>
    </row>
    <row r="3867" spans="1:4" ht="12.95" customHeight="1" x14ac:dyDescent="0.25">
      <c r="A3867" s="2" t="s">
        <v>525</v>
      </c>
      <c r="B3867" s="2" t="s">
        <v>977</v>
      </c>
      <c r="C3867" s="5" t="s">
        <v>984</v>
      </c>
      <c r="D3867" s="2" t="s">
        <v>1061</v>
      </c>
    </row>
    <row r="3868" spans="1:4" ht="12.95" customHeight="1" x14ac:dyDescent="0.25">
      <c r="A3868" s="2" t="s">
        <v>525</v>
      </c>
      <c r="B3868" s="2" t="s">
        <v>977</v>
      </c>
      <c r="C3868" s="5" t="s">
        <v>986</v>
      </c>
      <c r="D3868" s="2" t="s">
        <v>1062</v>
      </c>
    </row>
    <row r="3869" spans="1:4" ht="12.95" customHeight="1" x14ac:dyDescent="0.25">
      <c r="A3869" s="2" t="s">
        <v>527</v>
      </c>
      <c r="B3869" s="2" t="s">
        <v>977</v>
      </c>
      <c r="C3869" s="5" t="s">
        <v>984</v>
      </c>
      <c r="D3869" s="2" t="s">
        <v>1061</v>
      </c>
    </row>
    <row r="3870" spans="1:4" ht="12.95" customHeight="1" x14ac:dyDescent="0.25">
      <c r="A3870" s="2" t="s">
        <v>527</v>
      </c>
      <c r="B3870" s="2" t="s">
        <v>977</v>
      </c>
      <c r="C3870" s="5" t="s">
        <v>986</v>
      </c>
      <c r="D3870" s="2" t="s">
        <v>1062</v>
      </c>
    </row>
    <row r="3871" spans="1:4" ht="12.95" customHeight="1" x14ac:dyDescent="0.25">
      <c r="A3871" s="2" t="s">
        <v>529</v>
      </c>
      <c r="B3871" s="2" t="s">
        <v>977</v>
      </c>
      <c r="C3871" s="5" t="s">
        <v>984</v>
      </c>
      <c r="D3871" s="2" t="s">
        <v>1061</v>
      </c>
    </row>
    <row r="3872" spans="1:4" ht="12.95" customHeight="1" x14ac:dyDescent="0.25">
      <c r="A3872" s="2" t="s">
        <v>529</v>
      </c>
      <c r="B3872" s="2" t="s">
        <v>977</v>
      </c>
      <c r="C3872" s="5" t="s">
        <v>986</v>
      </c>
      <c r="D3872" s="2" t="s">
        <v>1062</v>
      </c>
    </row>
    <row r="3873" spans="1:4" ht="12.95" customHeight="1" x14ac:dyDescent="0.25">
      <c r="A3873" s="2" t="s">
        <v>531</v>
      </c>
      <c r="B3873" s="2" t="s">
        <v>977</v>
      </c>
      <c r="C3873" s="5" t="s">
        <v>984</v>
      </c>
      <c r="D3873" s="2" t="s">
        <v>1061</v>
      </c>
    </row>
    <row r="3874" spans="1:4" ht="12.95" customHeight="1" x14ac:dyDescent="0.25">
      <c r="A3874" s="2" t="s">
        <v>531</v>
      </c>
      <c r="B3874" s="2" t="s">
        <v>977</v>
      </c>
      <c r="C3874" s="5" t="s">
        <v>986</v>
      </c>
      <c r="D3874" s="2" t="s">
        <v>1062</v>
      </c>
    </row>
    <row r="3875" spans="1:4" ht="12.95" customHeight="1" x14ac:dyDescent="0.25">
      <c r="A3875" s="2" t="s">
        <v>533</v>
      </c>
      <c r="B3875" s="2" t="s">
        <v>977</v>
      </c>
      <c r="C3875" s="5" t="s">
        <v>984</v>
      </c>
      <c r="D3875" s="2" t="s">
        <v>1061</v>
      </c>
    </row>
    <row r="3876" spans="1:4" ht="12.95" customHeight="1" x14ac:dyDescent="0.25">
      <c r="A3876" s="2" t="s">
        <v>533</v>
      </c>
      <c r="B3876" s="2" t="s">
        <v>977</v>
      </c>
      <c r="C3876" s="5" t="s">
        <v>986</v>
      </c>
      <c r="D3876" s="2" t="s">
        <v>1062</v>
      </c>
    </row>
    <row r="3877" spans="1:4" ht="12.95" customHeight="1" x14ac:dyDescent="0.25">
      <c r="A3877" s="2" t="s">
        <v>535</v>
      </c>
      <c r="B3877" s="2" t="s">
        <v>977</v>
      </c>
      <c r="C3877" s="5" t="s">
        <v>978</v>
      </c>
      <c r="D3877" s="2" t="s">
        <v>979</v>
      </c>
    </row>
    <row r="3878" spans="1:4" ht="12.95" customHeight="1" x14ac:dyDescent="0.25">
      <c r="A3878" s="2" t="s">
        <v>535</v>
      </c>
      <c r="B3878" s="2" t="s">
        <v>977</v>
      </c>
      <c r="C3878" s="5" t="s">
        <v>980</v>
      </c>
      <c r="D3878" s="2" t="s">
        <v>981</v>
      </c>
    </row>
    <row r="3879" spans="1:4" ht="12.95" customHeight="1" x14ac:dyDescent="0.25">
      <c r="A3879" s="2" t="s">
        <v>535</v>
      </c>
      <c r="B3879" s="2" t="s">
        <v>977</v>
      </c>
      <c r="C3879" s="5" t="s">
        <v>982</v>
      </c>
      <c r="D3879" s="2" t="s">
        <v>983</v>
      </c>
    </row>
    <row r="3880" spans="1:4" ht="12.95" customHeight="1" x14ac:dyDescent="0.25">
      <c r="A3880" s="2" t="s">
        <v>535</v>
      </c>
      <c r="B3880" s="2" t="s">
        <v>977</v>
      </c>
      <c r="C3880" s="5" t="s">
        <v>984</v>
      </c>
      <c r="D3880" s="2" t="s">
        <v>3011</v>
      </c>
    </row>
    <row r="3881" spans="1:4" ht="12.95" customHeight="1" x14ac:dyDescent="0.25">
      <c r="A3881" s="2" t="s">
        <v>535</v>
      </c>
      <c r="B3881" s="2" t="s">
        <v>977</v>
      </c>
      <c r="C3881" s="5" t="s">
        <v>986</v>
      </c>
      <c r="D3881" s="2" t="s">
        <v>3012</v>
      </c>
    </row>
    <row r="3882" spans="1:4" ht="12.95" customHeight="1" x14ac:dyDescent="0.25">
      <c r="A3882" s="2" t="s">
        <v>535</v>
      </c>
      <c r="B3882" s="2" t="s">
        <v>977</v>
      </c>
      <c r="C3882" s="5" t="s">
        <v>988</v>
      </c>
      <c r="D3882" s="2" t="s">
        <v>3013</v>
      </c>
    </row>
    <row r="3883" spans="1:4" ht="12.95" customHeight="1" x14ac:dyDescent="0.25">
      <c r="A3883" s="2" t="s">
        <v>535</v>
      </c>
      <c r="B3883" s="2" t="s">
        <v>977</v>
      </c>
      <c r="C3883" s="5" t="s">
        <v>990</v>
      </c>
      <c r="D3883" s="2" t="s">
        <v>6010</v>
      </c>
    </row>
    <row r="3884" spans="1:4" ht="12.95" customHeight="1" x14ac:dyDescent="0.25">
      <c r="A3884" s="2" t="s">
        <v>535</v>
      </c>
      <c r="B3884" s="2" t="s">
        <v>977</v>
      </c>
      <c r="C3884" s="5" t="s">
        <v>992</v>
      </c>
      <c r="D3884" s="2" t="s">
        <v>6011</v>
      </c>
    </row>
    <row r="3885" spans="1:4" ht="12.95" customHeight="1" x14ac:dyDescent="0.25">
      <c r="A3885" s="2" t="s">
        <v>535</v>
      </c>
      <c r="B3885" s="2" t="s">
        <v>977</v>
      </c>
      <c r="C3885" s="5" t="s">
        <v>1005</v>
      </c>
      <c r="D3885" s="2" t="s">
        <v>3017</v>
      </c>
    </row>
    <row r="3886" spans="1:4" ht="12.95" customHeight="1" x14ac:dyDescent="0.25">
      <c r="A3886" s="2" t="s">
        <v>538</v>
      </c>
      <c r="B3886" s="2" t="s">
        <v>977</v>
      </c>
      <c r="C3886" s="5" t="s">
        <v>978</v>
      </c>
      <c r="D3886" s="2" t="s">
        <v>979</v>
      </c>
    </row>
    <row r="3887" spans="1:4" ht="12.95" customHeight="1" x14ac:dyDescent="0.25">
      <c r="A3887" s="2" t="s">
        <v>538</v>
      </c>
      <c r="B3887" s="2" t="s">
        <v>977</v>
      </c>
      <c r="C3887" s="5" t="s">
        <v>980</v>
      </c>
      <c r="D3887" s="2" t="s">
        <v>981</v>
      </c>
    </row>
    <row r="3888" spans="1:4" ht="12.95" customHeight="1" x14ac:dyDescent="0.25">
      <c r="A3888" s="2" t="s">
        <v>538</v>
      </c>
      <c r="B3888" s="2" t="s">
        <v>977</v>
      </c>
      <c r="C3888" s="5" t="s">
        <v>982</v>
      </c>
      <c r="D3888" s="2" t="s">
        <v>983</v>
      </c>
    </row>
    <row r="3889" spans="1:4" ht="12.95" customHeight="1" x14ac:dyDescent="0.25">
      <c r="A3889" s="2" t="s">
        <v>538</v>
      </c>
      <c r="B3889" s="2" t="s">
        <v>977</v>
      </c>
      <c r="C3889" s="5" t="s">
        <v>984</v>
      </c>
      <c r="D3889" s="2" t="s">
        <v>3011</v>
      </c>
    </row>
    <row r="3890" spans="1:4" ht="12.95" customHeight="1" x14ac:dyDescent="0.25">
      <c r="A3890" s="2" t="s">
        <v>538</v>
      </c>
      <c r="B3890" s="2" t="s">
        <v>977</v>
      </c>
      <c r="C3890" s="5" t="s">
        <v>986</v>
      </c>
      <c r="D3890" s="2" t="s">
        <v>3012</v>
      </c>
    </row>
    <row r="3891" spans="1:4" ht="12.95" customHeight="1" x14ac:dyDescent="0.25">
      <c r="A3891" s="2" t="s">
        <v>538</v>
      </c>
      <c r="B3891" s="2" t="s">
        <v>977</v>
      </c>
      <c r="C3891" s="5" t="s">
        <v>988</v>
      </c>
      <c r="D3891" s="2" t="s">
        <v>3013</v>
      </c>
    </row>
    <row r="3892" spans="1:4" ht="12.95" customHeight="1" x14ac:dyDescent="0.25">
      <c r="A3892" s="2" t="s">
        <v>538</v>
      </c>
      <c r="B3892" s="2" t="s">
        <v>977</v>
      </c>
      <c r="C3892" s="5" t="s">
        <v>990</v>
      </c>
      <c r="D3892" s="2" t="s">
        <v>6010</v>
      </c>
    </row>
    <row r="3893" spans="1:4" ht="12.95" customHeight="1" x14ac:dyDescent="0.25">
      <c r="A3893" s="2" t="s">
        <v>538</v>
      </c>
      <c r="B3893" s="2" t="s">
        <v>977</v>
      </c>
      <c r="C3893" s="5" t="s">
        <v>992</v>
      </c>
      <c r="D3893" s="2" t="s">
        <v>6011</v>
      </c>
    </row>
    <row r="3894" spans="1:4" ht="12.95" customHeight="1" x14ac:dyDescent="0.25">
      <c r="A3894" s="2" t="s">
        <v>538</v>
      </c>
      <c r="B3894" s="2" t="s">
        <v>977</v>
      </c>
      <c r="C3894" s="5" t="s">
        <v>1005</v>
      </c>
      <c r="D3894" s="2" t="s">
        <v>3017</v>
      </c>
    </row>
    <row r="3895" spans="1:4" ht="12.95" customHeight="1" x14ac:dyDescent="0.25">
      <c r="A3895" s="2" t="s">
        <v>540</v>
      </c>
      <c r="B3895" s="2" t="s">
        <v>977</v>
      </c>
      <c r="C3895" s="5" t="s">
        <v>978</v>
      </c>
      <c r="D3895" s="2" t="s">
        <v>979</v>
      </c>
    </row>
    <row r="3896" spans="1:4" ht="12.95" customHeight="1" x14ac:dyDescent="0.25">
      <c r="A3896" s="2" t="s">
        <v>540</v>
      </c>
      <c r="B3896" s="2" t="s">
        <v>977</v>
      </c>
      <c r="C3896" s="5" t="s">
        <v>980</v>
      </c>
      <c r="D3896" s="2" t="s">
        <v>981</v>
      </c>
    </row>
    <row r="3897" spans="1:4" ht="12.95" customHeight="1" x14ac:dyDescent="0.25">
      <c r="A3897" s="2" t="s">
        <v>540</v>
      </c>
      <c r="B3897" s="2" t="s">
        <v>977</v>
      </c>
      <c r="C3897" s="5" t="s">
        <v>982</v>
      </c>
      <c r="D3897" s="2" t="s">
        <v>983</v>
      </c>
    </row>
    <row r="3898" spans="1:4" ht="12.95" customHeight="1" x14ac:dyDescent="0.25">
      <c r="A3898" s="2" t="s">
        <v>540</v>
      </c>
      <c r="B3898" s="2" t="s">
        <v>977</v>
      </c>
      <c r="C3898" s="5" t="s">
        <v>984</v>
      </c>
      <c r="D3898" s="2" t="s">
        <v>3011</v>
      </c>
    </row>
    <row r="3899" spans="1:4" ht="12.95" customHeight="1" x14ac:dyDescent="0.25">
      <c r="A3899" s="2" t="s">
        <v>540</v>
      </c>
      <c r="B3899" s="2" t="s">
        <v>977</v>
      </c>
      <c r="C3899" s="5" t="s">
        <v>986</v>
      </c>
      <c r="D3899" s="2" t="s">
        <v>3012</v>
      </c>
    </row>
    <row r="3900" spans="1:4" ht="12.95" customHeight="1" x14ac:dyDescent="0.25">
      <c r="A3900" s="2" t="s">
        <v>540</v>
      </c>
      <c r="B3900" s="2" t="s">
        <v>977</v>
      </c>
      <c r="C3900" s="5" t="s">
        <v>988</v>
      </c>
      <c r="D3900" s="2" t="s">
        <v>3013</v>
      </c>
    </row>
    <row r="3901" spans="1:4" ht="12.95" customHeight="1" x14ac:dyDescent="0.25">
      <c r="A3901" s="2" t="s">
        <v>540</v>
      </c>
      <c r="B3901" s="2" t="s">
        <v>977</v>
      </c>
      <c r="C3901" s="5" t="s">
        <v>990</v>
      </c>
      <c r="D3901" s="2" t="s">
        <v>6010</v>
      </c>
    </row>
    <row r="3902" spans="1:4" ht="12.95" customHeight="1" x14ac:dyDescent="0.25">
      <c r="A3902" s="2" t="s">
        <v>540</v>
      </c>
      <c r="B3902" s="2" t="s">
        <v>977</v>
      </c>
      <c r="C3902" s="5" t="s">
        <v>992</v>
      </c>
      <c r="D3902" s="2" t="s">
        <v>6011</v>
      </c>
    </row>
    <row r="3903" spans="1:4" ht="12.95" customHeight="1" x14ac:dyDescent="0.25">
      <c r="A3903" s="2" t="s">
        <v>540</v>
      </c>
      <c r="B3903" s="2" t="s">
        <v>977</v>
      </c>
      <c r="C3903" s="5" t="s">
        <v>1005</v>
      </c>
      <c r="D3903" s="2" t="s">
        <v>3017</v>
      </c>
    </row>
    <row r="3904" spans="1:4" ht="12.95" customHeight="1" x14ac:dyDescent="0.25">
      <c r="A3904" s="2" t="s">
        <v>542</v>
      </c>
      <c r="B3904" s="2" t="s">
        <v>977</v>
      </c>
      <c r="C3904" s="5" t="s">
        <v>978</v>
      </c>
      <c r="D3904" s="2" t="s">
        <v>979</v>
      </c>
    </row>
    <row r="3905" spans="1:4" ht="12.95" customHeight="1" x14ac:dyDescent="0.25">
      <c r="A3905" s="2" t="s">
        <v>542</v>
      </c>
      <c r="B3905" s="2" t="s">
        <v>977</v>
      </c>
      <c r="C3905" s="5" t="s">
        <v>980</v>
      </c>
      <c r="D3905" s="2" t="s">
        <v>981</v>
      </c>
    </row>
    <row r="3906" spans="1:4" ht="12.95" customHeight="1" x14ac:dyDescent="0.25">
      <c r="A3906" s="2" t="s">
        <v>542</v>
      </c>
      <c r="B3906" s="2" t="s">
        <v>977</v>
      </c>
      <c r="C3906" s="5" t="s">
        <v>982</v>
      </c>
      <c r="D3906" s="2" t="s">
        <v>983</v>
      </c>
    </row>
    <row r="3907" spans="1:4" ht="12.95" customHeight="1" x14ac:dyDescent="0.25">
      <c r="A3907" s="2" t="s">
        <v>542</v>
      </c>
      <c r="B3907" s="2" t="s">
        <v>977</v>
      </c>
      <c r="C3907" s="5" t="s">
        <v>984</v>
      </c>
      <c r="D3907" s="2" t="s">
        <v>3011</v>
      </c>
    </row>
    <row r="3908" spans="1:4" ht="12.95" customHeight="1" x14ac:dyDescent="0.25">
      <c r="A3908" s="2" t="s">
        <v>542</v>
      </c>
      <c r="B3908" s="2" t="s">
        <v>977</v>
      </c>
      <c r="C3908" s="5" t="s">
        <v>986</v>
      </c>
      <c r="D3908" s="2" t="s">
        <v>3012</v>
      </c>
    </row>
    <row r="3909" spans="1:4" ht="12.95" customHeight="1" x14ac:dyDescent="0.25">
      <c r="A3909" s="2" t="s">
        <v>542</v>
      </c>
      <c r="B3909" s="2" t="s">
        <v>977</v>
      </c>
      <c r="C3909" s="5" t="s">
        <v>988</v>
      </c>
      <c r="D3909" s="2" t="s">
        <v>3013</v>
      </c>
    </row>
    <row r="3910" spans="1:4" ht="12.95" customHeight="1" x14ac:dyDescent="0.25">
      <c r="A3910" s="2" t="s">
        <v>542</v>
      </c>
      <c r="B3910" s="2" t="s">
        <v>977</v>
      </c>
      <c r="C3910" s="5" t="s">
        <v>990</v>
      </c>
      <c r="D3910" s="2" t="s">
        <v>6010</v>
      </c>
    </row>
    <row r="3911" spans="1:4" ht="12.95" customHeight="1" x14ac:dyDescent="0.25">
      <c r="A3911" s="2" t="s">
        <v>542</v>
      </c>
      <c r="B3911" s="2" t="s">
        <v>977</v>
      </c>
      <c r="C3911" s="5" t="s">
        <v>992</v>
      </c>
      <c r="D3911" s="2" t="s">
        <v>6011</v>
      </c>
    </row>
    <row r="3912" spans="1:4" ht="12.95" customHeight="1" x14ac:dyDescent="0.25">
      <c r="A3912" s="2" t="s">
        <v>542</v>
      </c>
      <c r="B3912" s="2" t="s">
        <v>977</v>
      </c>
      <c r="C3912" s="5" t="s">
        <v>1005</v>
      </c>
      <c r="D3912" s="2" t="s">
        <v>3017</v>
      </c>
    </row>
    <row r="3913" spans="1:4" ht="12.95" customHeight="1" x14ac:dyDescent="0.25">
      <c r="A3913" s="2" t="s">
        <v>544</v>
      </c>
      <c r="B3913" s="2" t="s">
        <v>977</v>
      </c>
      <c r="C3913" s="5" t="s">
        <v>978</v>
      </c>
      <c r="D3913" s="2" t="s">
        <v>979</v>
      </c>
    </row>
    <row r="3914" spans="1:4" ht="12.95" customHeight="1" x14ac:dyDescent="0.25">
      <c r="A3914" s="2" t="s">
        <v>544</v>
      </c>
      <c r="B3914" s="2" t="s">
        <v>977</v>
      </c>
      <c r="C3914" s="5" t="s">
        <v>980</v>
      </c>
      <c r="D3914" s="2" t="s">
        <v>981</v>
      </c>
    </row>
    <row r="3915" spans="1:4" ht="12.95" customHeight="1" x14ac:dyDescent="0.25">
      <c r="A3915" s="2" t="s">
        <v>544</v>
      </c>
      <c r="B3915" s="2" t="s">
        <v>977</v>
      </c>
      <c r="C3915" s="5" t="s">
        <v>982</v>
      </c>
      <c r="D3915" s="2" t="s">
        <v>983</v>
      </c>
    </row>
    <row r="3916" spans="1:4" ht="12.95" customHeight="1" x14ac:dyDescent="0.25">
      <c r="A3916" s="2" t="s">
        <v>544</v>
      </c>
      <c r="B3916" s="2" t="s">
        <v>977</v>
      </c>
      <c r="C3916" s="5" t="s">
        <v>984</v>
      </c>
      <c r="D3916" s="2" t="s">
        <v>3011</v>
      </c>
    </row>
    <row r="3917" spans="1:4" ht="12.95" customHeight="1" x14ac:dyDescent="0.25">
      <c r="A3917" s="2" t="s">
        <v>544</v>
      </c>
      <c r="B3917" s="2" t="s">
        <v>977</v>
      </c>
      <c r="C3917" s="5" t="s">
        <v>986</v>
      </c>
      <c r="D3917" s="2" t="s">
        <v>3012</v>
      </c>
    </row>
    <row r="3918" spans="1:4" ht="12.95" customHeight="1" x14ac:dyDescent="0.25">
      <c r="A3918" s="2" t="s">
        <v>544</v>
      </c>
      <c r="B3918" s="2" t="s">
        <v>977</v>
      </c>
      <c r="C3918" s="5" t="s">
        <v>988</v>
      </c>
      <c r="D3918" s="2" t="s">
        <v>3013</v>
      </c>
    </row>
    <row r="3919" spans="1:4" ht="12.95" customHeight="1" x14ac:dyDescent="0.25">
      <c r="A3919" s="2" t="s">
        <v>544</v>
      </c>
      <c r="B3919" s="2" t="s">
        <v>977</v>
      </c>
      <c r="C3919" s="5" t="s">
        <v>990</v>
      </c>
      <c r="D3919" s="2" t="s">
        <v>6010</v>
      </c>
    </row>
    <row r="3920" spans="1:4" ht="12.95" customHeight="1" x14ac:dyDescent="0.25">
      <c r="A3920" s="2" t="s">
        <v>544</v>
      </c>
      <c r="B3920" s="2" t="s">
        <v>977</v>
      </c>
      <c r="C3920" s="5" t="s">
        <v>992</v>
      </c>
      <c r="D3920" s="2" t="s">
        <v>6011</v>
      </c>
    </row>
    <row r="3921" spans="1:4" ht="12.95" customHeight="1" x14ac:dyDescent="0.25">
      <c r="A3921" s="2" t="s">
        <v>544</v>
      </c>
      <c r="B3921" s="2" t="s">
        <v>977</v>
      </c>
      <c r="C3921" s="5" t="s">
        <v>1005</v>
      </c>
      <c r="D3921" s="2" t="s">
        <v>3017</v>
      </c>
    </row>
    <row r="3922" spans="1:4" ht="12.95" customHeight="1" x14ac:dyDescent="0.25">
      <c r="A3922" s="2" t="s">
        <v>546</v>
      </c>
      <c r="B3922" s="2" t="s">
        <v>977</v>
      </c>
      <c r="C3922" s="5" t="s">
        <v>978</v>
      </c>
      <c r="D3922" s="2" t="s">
        <v>979</v>
      </c>
    </row>
    <row r="3923" spans="1:4" ht="12.95" customHeight="1" x14ac:dyDescent="0.25">
      <c r="A3923" s="2" t="s">
        <v>546</v>
      </c>
      <c r="B3923" s="2" t="s">
        <v>977</v>
      </c>
      <c r="C3923" s="5" t="s">
        <v>980</v>
      </c>
      <c r="D3923" s="2" t="s">
        <v>981</v>
      </c>
    </row>
    <row r="3924" spans="1:4" ht="12.95" customHeight="1" x14ac:dyDescent="0.25">
      <c r="A3924" s="2" t="s">
        <v>546</v>
      </c>
      <c r="B3924" s="2" t="s">
        <v>977</v>
      </c>
      <c r="C3924" s="5" t="s">
        <v>982</v>
      </c>
      <c r="D3924" s="2" t="s">
        <v>983</v>
      </c>
    </row>
    <row r="3925" spans="1:4" ht="12.95" customHeight="1" x14ac:dyDescent="0.25">
      <c r="A3925" s="2" t="s">
        <v>546</v>
      </c>
      <c r="B3925" s="2" t="s">
        <v>977</v>
      </c>
      <c r="C3925" s="5" t="s">
        <v>984</v>
      </c>
      <c r="D3925" s="2" t="s">
        <v>3011</v>
      </c>
    </row>
    <row r="3926" spans="1:4" ht="12.95" customHeight="1" x14ac:dyDescent="0.25">
      <c r="A3926" s="2" t="s">
        <v>546</v>
      </c>
      <c r="B3926" s="2" t="s">
        <v>977</v>
      </c>
      <c r="C3926" s="5" t="s">
        <v>986</v>
      </c>
      <c r="D3926" s="2" t="s">
        <v>3012</v>
      </c>
    </row>
    <row r="3927" spans="1:4" ht="12.95" customHeight="1" x14ac:dyDescent="0.25">
      <c r="A3927" s="2" t="s">
        <v>546</v>
      </c>
      <c r="B3927" s="2" t="s">
        <v>977</v>
      </c>
      <c r="C3927" s="5" t="s">
        <v>988</v>
      </c>
      <c r="D3927" s="2" t="s">
        <v>3013</v>
      </c>
    </row>
    <row r="3928" spans="1:4" ht="12.95" customHeight="1" x14ac:dyDescent="0.25">
      <c r="A3928" s="2" t="s">
        <v>546</v>
      </c>
      <c r="B3928" s="2" t="s">
        <v>977</v>
      </c>
      <c r="C3928" s="5" t="s">
        <v>990</v>
      </c>
      <c r="D3928" s="2" t="s">
        <v>6010</v>
      </c>
    </row>
    <row r="3929" spans="1:4" ht="12.95" customHeight="1" x14ac:dyDescent="0.25">
      <c r="A3929" s="2" t="s">
        <v>546</v>
      </c>
      <c r="B3929" s="2" t="s">
        <v>977</v>
      </c>
      <c r="C3929" s="5" t="s">
        <v>992</v>
      </c>
      <c r="D3929" s="2" t="s">
        <v>6011</v>
      </c>
    </row>
    <row r="3930" spans="1:4" ht="12.95" customHeight="1" x14ac:dyDescent="0.25">
      <c r="A3930" s="2" t="s">
        <v>546</v>
      </c>
      <c r="B3930" s="2" t="s">
        <v>977</v>
      </c>
      <c r="C3930" s="5" t="s">
        <v>1005</v>
      </c>
      <c r="D3930" s="2" t="s">
        <v>3017</v>
      </c>
    </row>
    <row r="3931" spans="1:4" ht="12.95" customHeight="1" x14ac:dyDescent="0.25">
      <c r="A3931" s="2" t="s">
        <v>548</v>
      </c>
      <c r="B3931" s="2" t="s">
        <v>977</v>
      </c>
      <c r="C3931" s="5" t="s">
        <v>980</v>
      </c>
      <c r="D3931" s="2" t="s">
        <v>981</v>
      </c>
    </row>
    <row r="3932" spans="1:4" ht="12.95" customHeight="1" x14ac:dyDescent="0.25">
      <c r="A3932" s="2" t="s">
        <v>548</v>
      </c>
      <c r="B3932" s="2" t="s">
        <v>977</v>
      </c>
      <c r="C3932" s="5" t="s">
        <v>982</v>
      </c>
      <c r="D3932" s="2" t="s">
        <v>983</v>
      </c>
    </row>
    <row r="3933" spans="1:4" ht="12.95" customHeight="1" x14ac:dyDescent="0.25">
      <c r="A3933" s="2" t="s">
        <v>551</v>
      </c>
      <c r="B3933" s="2" t="s">
        <v>977</v>
      </c>
      <c r="C3933" s="5" t="s">
        <v>978</v>
      </c>
      <c r="D3933" s="2" t="s">
        <v>979</v>
      </c>
    </row>
    <row r="3934" spans="1:4" ht="12.95" customHeight="1" x14ac:dyDescent="0.25">
      <c r="A3934" s="2" t="s">
        <v>551</v>
      </c>
      <c r="B3934" s="2" t="s">
        <v>977</v>
      </c>
      <c r="C3934" s="5" t="s">
        <v>980</v>
      </c>
      <c r="D3934" s="2" t="s">
        <v>981</v>
      </c>
    </row>
    <row r="3935" spans="1:4" ht="12.95" customHeight="1" x14ac:dyDescent="0.25">
      <c r="A3935" s="2" t="s">
        <v>551</v>
      </c>
      <c r="B3935" s="2" t="s">
        <v>977</v>
      </c>
      <c r="C3935" s="5" t="s">
        <v>982</v>
      </c>
      <c r="D3935" s="2" t="s">
        <v>983</v>
      </c>
    </row>
    <row r="3936" spans="1:4" ht="12.95" customHeight="1" x14ac:dyDescent="0.25">
      <c r="A3936" s="2" t="s">
        <v>551</v>
      </c>
      <c r="B3936" s="2" t="s">
        <v>977</v>
      </c>
      <c r="C3936" s="5" t="s">
        <v>984</v>
      </c>
      <c r="D3936" s="2" t="s">
        <v>3011</v>
      </c>
    </row>
    <row r="3937" spans="1:4" ht="12.95" customHeight="1" x14ac:dyDescent="0.25">
      <c r="A3937" s="2" t="s">
        <v>551</v>
      </c>
      <c r="B3937" s="2" t="s">
        <v>977</v>
      </c>
      <c r="C3937" s="5" t="s">
        <v>986</v>
      </c>
      <c r="D3937" s="2" t="s">
        <v>3012</v>
      </c>
    </row>
    <row r="3938" spans="1:4" ht="12.95" customHeight="1" x14ac:dyDescent="0.25">
      <c r="A3938" s="2" t="s">
        <v>551</v>
      </c>
      <c r="B3938" s="2" t="s">
        <v>977</v>
      </c>
      <c r="C3938" s="5" t="s">
        <v>988</v>
      </c>
      <c r="D3938" s="2" t="s">
        <v>3013</v>
      </c>
    </row>
    <row r="3939" spans="1:4" ht="12.95" customHeight="1" x14ac:dyDescent="0.25">
      <c r="A3939" s="2" t="s">
        <v>551</v>
      </c>
      <c r="B3939" s="2" t="s">
        <v>977</v>
      </c>
      <c r="C3939" s="5" t="s">
        <v>990</v>
      </c>
      <c r="D3939" s="2" t="s">
        <v>6010</v>
      </c>
    </row>
    <row r="3940" spans="1:4" ht="12.95" customHeight="1" x14ac:dyDescent="0.25">
      <c r="A3940" s="2" t="s">
        <v>551</v>
      </c>
      <c r="B3940" s="2" t="s">
        <v>977</v>
      </c>
      <c r="C3940" s="5" t="s">
        <v>992</v>
      </c>
      <c r="D3940" s="2" t="s">
        <v>6011</v>
      </c>
    </row>
    <row r="3941" spans="1:4" ht="12.95" customHeight="1" x14ac:dyDescent="0.25">
      <c r="A3941" s="2" t="s">
        <v>551</v>
      </c>
      <c r="B3941" s="2" t="s">
        <v>977</v>
      </c>
      <c r="C3941" s="5" t="s">
        <v>1005</v>
      </c>
      <c r="D3941" s="2" t="s">
        <v>3017</v>
      </c>
    </row>
    <row r="3942" spans="1:4" ht="12.95" customHeight="1" x14ac:dyDescent="0.25">
      <c r="A3942" s="2" t="s">
        <v>553</v>
      </c>
      <c r="B3942" s="2" t="s">
        <v>977</v>
      </c>
      <c r="C3942" s="5" t="s">
        <v>978</v>
      </c>
      <c r="D3942" s="2" t="s">
        <v>979</v>
      </c>
    </row>
    <row r="3943" spans="1:4" ht="12.95" customHeight="1" x14ac:dyDescent="0.25">
      <c r="A3943" s="2" t="s">
        <v>553</v>
      </c>
      <c r="B3943" s="2" t="s">
        <v>977</v>
      </c>
      <c r="C3943" s="5" t="s">
        <v>980</v>
      </c>
      <c r="D3943" s="2" t="s">
        <v>981</v>
      </c>
    </row>
    <row r="3944" spans="1:4" ht="12.95" customHeight="1" x14ac:dyDescent="0.25">
      <c r="A3944" s="2" t="s">
        <v>553</v>
      </c>
      <c r="B3944" s="2" t="s">
        <v>977</v>
      </c>
      <c r="C3944" s="5" t="s">
        <v>982</v>
      </c>
      <c r="D3944" s="2" t="s">
        <v>983</v>
      </c>
    </row>
    <row r="3945" spans="1:4" ht="12.95" customHeight="1" x14ac:dyDescent="0.25">
      <c r="A3945" s="2" t="s">
        <v>553</v>
      </c>
      <c r="B3945" s="2" t="s">
        <v>977</v>
      </c>
      <c r="C3945" s="5" t="s">
        <v>984</v>
      </c>
      <c r="D3945" s="2" t="s">
        <v>3011</v>
      </c>
    </row>
    <row r="3946" spans="1:4" ht="12.95" customHeight="1" x14ac:dyDescent="0.25">
      <c r="A3946" s="2" t="s">
        <v>553</v>
      </c>
      <c r="B3946" s="2" t="s">
        <v>977</v>
      </c>
      <c r="C3946" s="5" t="s">
        <v>986</v>
      </c>
      <c r="D3946" s="2" t="s">
        <v>3012</v>
      </c>
    </row>
    <row r="3947" spans="1:4" ht="12.95" customHeight="1" x14ac:dyDescent="0.25">
      <c r="A3947" s="2" t="s">
        <v>553</v>
      </c>
      <c r="B3947" s="2" t="s">
        <v>977</v>
      </c>
      <c r="C3947" s="5" t="s">
        <v>988</v>
      </c>
      <c r="D3947" s="2" t="s">
        <v>3013</v>
      </c>
    </row>
    <row r="3948" spans="1:4" ht="12.95" customHeight="1" x14ac:dyDescent="0.25">
      <c r="A3948" s="2" t="s">
        <v>553</v>
      </c>
      <c r="B3948" s="2" t="s">
        <v>977</v>
      </c>
      <c r="C3948" s="5" t="s">
        <v>990</v>
      </c>
      <c r="D3948" s="2" t="s">
        <v>6010</v>
      </c>
    </row>
    <row r="3949" spans="1:4" ht="12.95" customHeight="1" x14ac:dyDescent="0.25">
      <c r="A3949" s="2" t="s">
        <v>553</v>
      </c>
      <c r="B3949" s="2" t="s">
        <v>977</v>
      </c>
      <c r="C3949" s="5" t="s">
        <v>992</v>
      </c>
      <c r="D3949" s="2" t="s">
        <v>6011</v>
      </c>
    </row>
    <row r="3950" spans="1:4" ht="12.95" customHeight="1" x14ac:dyDescent="0.25">
      <c r="A3950" s="2" t="s">
        <v>553</v>
      </c>
      <c r="B3950" s="2" t="s">
        <v>977</v>
      </c>
      <c r="C3950" s="5" t="s">
        <v>1005</v>
      </c>
      <c r="D3950" s="2" t="s">
        <v>3017</v>
      </c>
    </row>
    <row r="3951" spans="1:4" ht="12.95" customHeight="1" x14ac:dyDescent="0.25">
      <c r="A3951" s="2" t="s">
        <v>555</v>
      </c>
      <c r="B3951" s="2" t="s">
        <v>977</v>
      </c>
      <c r="C3951" s="5" t="s">
        <v>996</v>
      </c>
      <c r="D3951" s="2" t="s">
        <v>997</v>
      </c>
    </row>
    <row r="3952" spans="1:4" ht="12.95" customHeight="1" x14ac:dyDescent="0.25">
      <c r="A3952" s="2" t="s">
        <v>555</v>
      </c>
      <c r="B3952" s="2" t="s">
        <v>977</v>
      </c>
      <c r="C3952" s="5" t="s">
        <v>978</v>
      </c>
      <c r="D3952" s="2" t="s">
        <v>979</v>
      </c>
    </row>
    <row r="3953" spans="1:4" ht="12.95" customHeight="1" x14ac:dyDescent="0.25">
      <c r="A3953" s="2" t="s">
        <v>555</v>
      </c>
      <c r="B3953" s="2" t="s">
        <v>977</v>
      </c>
      <c r="C3953" s="5" t="s">
        <v>980</v>
      </c>
      <c r="D3953" s="2" t="s">
        <v>981</v>
      </c>
    </row>
    <row r="3954" spans="1:4" ht="12.95" customHeight="1" x14ac:dyDescent="0.25">
      <c r="A3954" s="2" t="s">
        <v>560</v>
      </c>
      <c r="B3954" s="2" t="s">
        <v>1040</v>
      </c>
      <c r="C3954" s="5" t="s">
        <v>984</v>
      </c>
      <c r="D3954" s="2" t="s">
        <v>6012</v>
      </c>
    </row>
    <row r="3955" spans="1:4" ht="12.95" customHeight="1" x14ac:dyDescent="0.25">
      <c r="A3955" s="2" t="s">
        <v>560</v>
      </c>
      <c r="B3955" s="2" t="s">
        <v>1040</v>
      </c>
      <c r="C3955" s="5" t="s">
        <v>986</v>
      </c>
      <c r="D3955" s="2" t="s">
        <v>6013</v>
      </c>
    </row>
    <row r="3956" spans="1:4" ht="12.95" customHeight="1" x14ac:dyDescent="0.25">
      <c r="A3956" s="2" t="s">
        <v>562</v>
      </c>
      <c r="B3956" s="2" t="s">
        <v>1040</v>
      </c>
      <c r="C3956" s="5" t="s">
        <v>984</v>
      </c>
      <c r="D3956" s="2" t="s">
        <v>6014</v>
      </c>
    </row>
    <row r="3957" spans="1:4" ht="12.95" customHeight="1" x14ac:dyDescent="0.25">
      <c r="A3957" s="2" t="s">
        <v>562</v>
      </c>
      <c r="B3957" s="2" t="s">
        <v>1040</v>
      </c>
      <c r="C3957" s="5" t="s">
        <v>986</v>
      </c>
      <c r="D3957" s="2" t="s">
        <v>6015</v>
      </c>
    </row>
    <row r="3958" spans="1:4" ht="12.95" customHeight="1" x14ac:dyDescent="0.25">
      <c r="A3958" s="2" t="s">
        <v>562</v>
      </c>
      <c r="B3958" s="2" t="s">
        <v>1040</v>
      </c>
      <c r="C3958" s="5" t="s">
        <v>988</v>
      </c>
      <c r="D3958" s="2" t="s">
        <v>6016</v>
      </c>
    </row>
    <row r="3959" spans="1:4" ht="12.95" customHeight="1" x14ac:dyDescent="0.25">
      <c r="A3959" s="2" t="s">
        <v>566</v>
      </c>
      <c r="B3959" s="2" t="s">
        <v>1040</v>
      </c>
      <c r="C3959" s="5" t="s">
        <v>986</v>
      </c>
      <c r="D3959" s="2" t="s">
        <v>6015</v>
      </c>
    </row>
    <row r="3960" spans="1:4" ht="12.95" customHeight="1" x14ac:dyDescent="0.25">
      <c r="A3960" s="2" t="s">
        <v>566</v>
      </c>
      <c r="B3960" s="2" t="s">
        <v>1040</v>
      </c>
      <c r="C3960" s="5" t="s">
        <v>988</v>
      </c>
      <c r="D3960" s="2" t="s">
        <v>6016</v>
      </c>
    </row>
    <row r="3961" spans="1:4" ht="12.95" customHeight="1" x14ac:dyDescent="0.25">
      <c r="A3961" s="2" t="s">
        <v>568</v>
      </c>
      <c r="B3961" s="2" t="s">
        <v>977</v>
      </c>
      <c r="C3961" s="5" t="s">
        <v>978</v>
      </c>
      <c r="D3961" s="2" t="s">
        <v>979</v>
      </c>
    </row>
    <row r="3962" spans="1:4" ht="12.95" customHeight="1" x14ac:dyDescent="0.25">
      <c r="A3962" s="2" t="s">
        <v>568</v>
      </c>
      <c r="B3962" s="2" t="s">
        <v>977</v>
      </c>
      <c r="C3962" s="5" t="s">
        <v>980</v>
      </c>
      <c r="D3962" s="2" t="s">
        <v>981</v>
      </c>
    </row>
    <row r="3963" spans="1:4" ht="12.95" customHeight="1" x14ac:dyDescent="0.25">
      <c r="A3963" s="2" t="s">
        <v>568</v>
      </c>
      <c r="B3963" s="2" t="s">
        <v>977</v>
      </c>
      <c r="C3963" s="5" t="s">
        <v>984</v>
      </c>
      <c r="D3963" s="2" t="s">
        <v>6017</v>
      </c>
    </row>
    <row r="3964" spans="1:4" ht="12.95" customHeight="1" x14ac:dyDescent="0.25">
      <c r="A3964" s="2" t="s">
        <v>568</v>
      </c>
      <c r="B3964" s="2" t="s">
        <v>977</v>
      </c>
      <c r="C3964" s="5" t="s">
        <v>986</v>
      </c>
      <c r="D3964" s="2" t="s">
        <v>6018</v>
      </c>
    </row>
    <row r="3965" spans="1:4" ht="12.95" customHeight="1" x14ac:dyDescent="0.25">
      <c r="A3965" s="2" t="s">
        <v>573</v>
      </c>
      <c r="B3965" s="2" t="s">
        <v>977</v>
      </c>
      <c r="C3965" s="5" t="s">
        <v>996</v>
      </c>
      <c r="D3965" s="2" t="s">
        <v>997</v>
      </c>
    </row>
    <row r="3966" spans="1:4" ht="12.95" customHeight="1" x14ac:dyDescent="0.25">
      <c r="A3966" s="2" t="s">
        <v>573</v>
      </c>
      <c r="B3966" s="2" t="s">
        <v>977</v>
      </c>
      <c r="C3966" s="5" t="s">
        <v>978</v>
      </c>
      <c r="D3966" s="2" t="s">
        <v>1047</v>
      </c>
    </row>
    <row r="3967" spans="1:4" ht="12.95" customHeight="1" x14ac:dyDescent="0.25">
      <c r="A3967" s="2" t="s">
        <v>573</v>
      </c>
      <c r="B3967" s="2" t="s">
        <v>977</v>
      </c>
      <c r="C3967" s="5" t="s">
        <v>980</v>
      </c>
      <c r="D3967" s="2" t="s">
        <v>1041</v>
      </c>
    </row>
    <row r="3968" spans="1:4" ht="12.95" customHeight="1" x14ac:dyDescent="0.25">
      <c r="A3968" s="2" t="s">
        <v>573</v>
      </c>
      <c r="B3968" s="2" t="s">
        <v>977</v>
      </c>
      <c r="C3968" s="5" t="s">
        <v>982</v>
      </c>
      <c r="D3968" s="2" t="s">
        <v>983</v>
      </c>
    </row>
    <row r="3969" spans="1:4" ht="12.95" customHeight="1" x14ac:dyDescent="0.25">
      <c r="A3969" s="2" t="s">
        <v>576</v>
      </c>
      <c r="B3969" s="2" t="s">
        <v>977</v>
      </c>
      <c r="C3969" s="5" t="s">
        <v>996</v>
      </c>
      <c r="D3969" s="2" t="s">
        <v>997</v>
      </c>
    </row>
    <row r="3970" spans="1:4" ht="12.95" customHeight="1" x14ac:dyDescent="0.25">
      <c r="A3970" s="2" t="s">
        <v>576</v>
      </c>
      <c r="B3970" s="2" t="s">
        <v>977</v>
      </c>
      <c r="C3970" s="5" t="s">
        <v>978</v>
      </c>
      <c r="D3970" s="2" t="s">
        <v>3010</v>
      </c>
    </row>
    <row r="3971" spans="1:4" ht="12.95" customHeight="1" x14ac:dyDescent="0.25">
      <c r="A3971" s="2" t="s">
        <v>576</v>
      </c>
      <c r="B3971" s="2" t="s">
        <v>977</v>
      </c>
      <c r="C3971" s="5" t="s">
        <v>980</v>
      </c>
      <c r="D3971" s="2" t="s">
        <v>3009</v>
      </c>
    </row>
    <row r="3972" spans="1:4" ht="12.95" customHeight="1" x14ac:dyDescent="0.25">
      <c r="A3972" s="2" t="s">
        <v>576</v>
      </c>
      <c r="B3972" s="2" t="s">
        <v>977</v>
      </c>
      <c r="C3972" s="5" t="s">
        <v>984</v>
      </c>
      <c r="D3972" s="2" t="s">
        <v>3011</v>
      </c>
    </row>
    <row r="3973" spans="1:4" ht="12.95" customHeight="1" x14ac:dyDescent="0.25">
      <c r="A3973" s="2" t="s">
        <v>576</v>
      </c>
      <c r="B3973" s="2" t="s">
        <v>977</v>
      </c>
      <c r="C3973" s="5" t="s">
        <v>986</v>
      </c>
      <c r="D3973" s="2" t="s">
        <v>3012</v>
      </c>
    </row>
    <row r="3974" spans="1:4" ht="12.95" customHeight="1" x14ac:dyDescent="0.25">
      <c r="A3974" s="2" t="s">
        <v>576</v>
      </c>
      <c r="B3974" s="2" t="s">
        <v>977</v>
      </c>
      <c r="C3974" s="5" t="s">
        <v>988</v>
      </c>
      <c r="D3974" s="2" t="s">
        <v>3013</v>
      </c>
    </row>
    <row r="3975" spans="1:4" ht="12.95" customHeight="1" x14ac:dyDescent="0.25">
      <c r="A3975" s="2" t="s">
        <v>576</v>
      </c>
      <c r="B3975" s="2" t="s">
        <v>977</v>
      </c>
      <c r="C3975" s="5" t="s">
        <v>990</v>
      </c>
      <c r="D3975" s="2" t="s">
        <v>3014</v>
      </c>
    </row>
    <row r="3976" spans="1:4" ht="12.95" customHeight="1" x14ac:dyDescent="0.25">
      <c r="A3976" s="2" t="s">
        <v>576</v>
      </c>
      <c r="B3976" s="2" t="s">
        <v>977</v>
      </c>
      <c r="C3976" s="5" t="s">
        <v>992</v>
      </c>
      <c r="D3976" s="2" t="s">
        <v>3015</v>
      </c>
    </row>
    <row r="3977" spans="1:4" ht="12.95" customHeight="1" x14ac:dyDescent="0.25">
      <c r="A3977" s="2" t="s">
        <v>576</v>
      </c>
      <c r="B3977" s="2" t="s">
        <v>977</v>
      </c>
      <c r="C3977" s="5" t="s">
        <v>994</v>
      </c>
      <c r="D3977" s="2" t="s">
        <v>3016</v>
      </c>
    </row>
    <row r="3978" spans="1:4" ht="12.95" customHeight="1" x14ac:dyDescent="0.25">
      <c r="A3978" s="2" t="s">
        <v>576</v>
      </c>
      <c r="B3978" s="2" t="s">
        <v>977</v>
      </c>
      <c r="C3978" s="5" t="s">
        <v>1005</v>
      </c>
      <c r="D3978" s="2" t="s">
        <v>3017</v>
      </c>
    </row>
    <row r="3979" spans="1:4" ht="12.95" customHeight="1" x14ac:dyDescent="0.25">
      <c r="A3979" s="2" t="s">
        <v>580</v>
      </c>
      <c r="B3979" s="2" t="s">
        <v>977</v>
      </c>
      <c r="C3979" s="5" t="s">
        <v>978</v>
      </c>
      <c r="D3979" s="2" t="s">
        <v>979</v>
      </c>
    </row>
    <row r="3980" spans="1:4" ht="12.95" customHeight="1" x14ac:dyDescent="0.25">
      <c r="A3980" s="2" t="s">
        <v>580</v>
      </c>
      <c r="B3980" s="2" t="s">
        <v>977</v>
      </c>
      <c r="C3980" s="5" t="s">
        <v>980</v>
      </c>
      <c r="D3980" s="2" t="s">
        <v>981</v>
      </c>
    </row>
    <row r="3981" spans="1:4" ht="12.95" customHeight="1" x14ac:dyDescent="0.25">
      <c r="A3981" s="2" t="s">
        <v>580</v>
      </c>
      <c r="B3981" s="2" t="s">
        <v>977</v>
      </c>
      <c r="C3981" s="5" t="s">
        <v>984</v>
      </c>
      <c r="D3981" s="2" t="s">
        <v>6019</v>
      </c>
    </row>
    <row r="3982" spans="1:4" ht="12.95" customHeight="1" x14ac:dyDescent="0.25">
      <c r="A3982" s="2" t="s">
        <v>580</v>
      </c>
      <c r="B3982" s="2" t="s">
        <v>977</v>
      </c>
      <c r="C3982" s="5" t="s">
        <v>986</v>
      </c>
      <c r="D3982" s="2" t="s">
        <v>6020</v>
      </c>
    </row>
    <row r="3983" spans="1:4" ht="12.95" customHeight="1" x14ac:dyDescent="0.25">
      <c r="A3983" s="2" t="s">
        <v>580</v>
      </c>
      <c r="B3983" s="2" t="s">
        <v>977</v>
      </c>
      <c r="C3983" s="5" t="s">
        <v>988</v>
      </c>
      <c r="D3983" s="2" t="s">
        <v>6021</v>
      </c>
    </row>
    <row r="3984" spans="1:4" ht="12.95" customHeight="1" x14ac:dyDescent="0.25">
      <c r="A3984" s="2" t="s">
        <v>580</v>
      </c>
      <c r="B3984" s="2" t="s">
        <v>977</v>
      </c>
      <c r="C3984" s="5" t="s">
        <v>990</v>
      </c>
      <c r="D3984" s="2" t="s">
        <v>6022</v>
      </c>
    </row>
    <row r="3985" spans="1:4" ht="12.95" customHeight="1" x14ac:dyDescent="0.25">
      <c r="A3985" s="2" t="s">
        <v>580</v>
      </c>
      <c r="B3985" s="2" t="s">
        <v>977</v>
      </c>
      <c r="C3985" s="5" t="s">
        <v>992</v>
      </c>
      <c r="D3985" s="2" t="s">
        <v>6023</v>
      </c>
    </row>
    <row r="3986" spans="1:4" ht="12.95" customHeight="1" x14ac:dyDescent="0.25">
      <c r="A3986" s="2" t="s">
        <v>580</v>
      </c>
      <c r="B3986" s="2" t="s">
        <v>977</v>
      </c>
      <c r="C3986" s="5" t="s">
        <v>994</v>
      </c>
      <c r="D3986" s="2" t="s">
        <v>6024</v>
      </c>
    </row>
    <row r="3987" spans="1:4" ht="12.95" customHeight="1" x14ac:dyDescent="0.25">
      <c r="A3987" s="2" t="s">
        <v>580</v>
      </c>
      <c r="B3987" s="2" t="s">
        <v>977</v>
      </c>
      <c r="C3987" s="5" t="s">
        <v>1003</v>
      </c>
      <c r="D3987" s="2" t="s">
        <v>6025</v>
      </c>
    </row>
    <row r="3988" spans="1:4" ht="12.95" customHeight="1" x14ac:dyDescent="0.25">
      <c r="A3988" s="2" t="s">
        <v>583</v>
      </c>
      <c r="B3988" s="2" t="s">
        <v>977</v>
      </c>
      <c r="C3988" s="5" t="s">
        <v>986</v>
      </c>
      <c r="D3988" s="2" t="s">
        <v>6015</v>
      </c>
    </row>
    <row r="3989" spans="1:4" ht="12.95" customHeight="1" x14ac:dyDescent="0.25">
      <c r="A3989" s="2" t="s">
        <v>583</v>
      </c>
      <c r="B3989" s="2" t="s">
        <v>977</v>
      </c>
      <c r="C3989" s="5" t="s">
        <v>988</v>
      </c>
      <c r="D3989" s="2" t="s">
        <v>6016</v>
      </c>
    </row>
    <row r="3990" spans="1:4" ht="12.95" customHeight="1" x14ac:dyDescent="0.25">
      <c r="A3990" s="2" t="s">
        <v>584</v>
      </c>
      <c r="B3990" s="2" t="s">
        <v>977</v>
      </c>
      <c r="C3990" s="5" t="s">
        <v>996</v>
      </c>
      <c r="D3990" s="2" t="s">
        <v>997</v>
      </c>
    </row>
    <row r="3991" spans="1:4" ht="12.95" customHeight="1" x14ac:dyDescent="0.25">
      <c r="A3991" s="2" t="s">
        <v>584</v>
      </c>
      <c r="B3991" s="2" t="s">
        <v>977</v>
      </c>
      <c r="C3991" s="5" t="s">
        <v>978</v>
      </c>
      <c r="D3991" s="2" t="s">
        <v>1047</v>
      </c>
    </row>
    <row r="3992" spans="1:4" ht="12.95" customHeight="1" x14ac:dyDescent="0.25">
      <c r="A3992" s="2" t="s">
        <v>584</v>
      </c>
      <c r="B3992" s="2" t="s">
        <v>977</v>
      </c>
      <c r="C3992" s="5" t="s">
        <v>980</v>
      </c>
      <c r="D3992" s="2" t="s">
        <v>1041</v>
      </c>
    </row>
    <row r="3993" spans="1:4" ht="12.95" customHeight="1" x14ac:dyDescent="0.25">
      <c r="A3993" s="2" t="s">
        <v>584</v>
      </c>
      <c r="B3993" s="2" t="s">
        <v>977</v>
      </c>
      <c r="C3993" s="5" t="s">
        <v>984</v>
      </c>
      <c r="D3993" s="2" t="s">
        <v>6026</v>
      </c>
    </row>
    <row r="3994" spans="1:4" ht="12.95" customHeight="1" x14ac:dyDescent="0.25">
      <c r="A3994" s="2" t="s">
        <v>584</v>
      </c>
      <c r="B3994" s="2" t="s">
        <v>977</v>
      </c>
      <c r="C3994" s="5" t="s">
        <v>986</v>
      </c>
      <c r="D3994" s="2" t="s">
        <v>6027</v>
      </c>
    </row>
    <row r="3995" spans="1:4" ht="12.95" customHeight="1" x14ac:dyDescent="0.25">
      <c r="A3995" s="2" t="s">
        <v>589</v>
      </c>
      <c r="B3995" s="2" t="s">
        <v>977</v>
      </c>
      <c r="C3995" s="5" t="s">
        <v>996</v>
      </c>
      <c r="D3995" s="2" t="s">
        <v>997</v>
      </c>
    </row>
    <row r="3996" spans="1:4" ht="12.95" customHeight="1" x14ac:dyDescent="0.25">
      <c r="A3996" s="2" t="s">
        <v>589</v>
      </c>
      <c r="B3996" s="2" t="s">
        <v>977</v>
      </c>
      <c r="C3996" s="5" t="s">
        <v>978</v>
      </c>
      <c r="D3996" s="2" t="s">
        <v>979</v>
      </c>
    </row>
    <row r="3997" spans="1:4" ht="12.95" customHeight="1" x14ac:dyDescent="0.25">
      <c r="A3997" s="2" t="s">
        <v>589</v>
      </c>
      <c r="B3997" s="2" t="s">
        <v>977</v>
      </c>
      <c r="C3997" s="5" t="s">
        <v>980</v>
      </c>
      <c r="D3997" s="2" t="s">
        <v>981</v>
      </c>
    </row>
    <row r="3998" spans="1:4" ht="12.95" customHeight="1" x14ac:dyDescent="0.25">
      <c r="A3998" s="2" t="s">
        <v>589</v>
      </c>
      <c r="B3998" s="2" t="s">
        <v>977</v>
      </c>
      <c r="C3998" s="5" t="s">
        <v>982</v>
      </c>
      <c r="D3998" s="2" t="s">
        <v>983</v>
      </c>
    </row>
    <row r="3999" spans="1:4" ht="12.95" customHeight="1" x14ac:dyDescent="0.25">
      <c r="A3999" s="2" t="s">
        <v>589</v>
      </c>
      <c r="B3999" s="2" t="s">
        <v>977</v>
      </c>
      <c r="C3999" s="5" t="s">
        <v>984</v>
      </c>
      <c r="D3999" s="2" t="s">
        <v>6028</v>
      </c>
    </row>
    <row r="4000" spans="1:4" ht="12.95" customHeight="1" x14ac:dyDescent="0.25">
      <c r="A4000" s="2" t="s">
        <v>589</v>
      </c>
      <c r="B4000" s="2" t="s">
        <v>977</v>
      </c>
      <c r="C4000" s="5" t="s">
        <v>986</v>
      </c>
      <c r="D4000" s="2" t="s">
        <v>6029</v>
      </c>
    </row>
    <row r="4001" spans="1:4" ht="12.95" customHeight="1" x14ac:dyDescent="0.25">
      <c r="A4001" s="2" t="s">
        <v>589</v>
      </c>
      <c r="B4001" s="2" t="s">
        <v>977</v>
      </c>
      <c r="C4001" s="5" t="s">
        <v>988</v>
      </c>
      <c r="D4001" s="2" t="s">
        <v>6030</v>
      </c>
    </row>
    <row r="4002" spans="1:4" ht="12.95" customHeight="1" x14ac:dyDescent="0.25">
      <c r="A4002" s="2" t="s">
        <v>589</v>
      </c>
      <c r="B4002" s="2" t="s">
        <v>977</v>
      </c>
      <c r="C4002" s="5" t="s">
        <v>990</v>
      </c>
      <c r="D4002" s="2" t="s">
        <v>6031</v>
      </c>
    </row>
    <row r="4003" spans="1:4" ht="12.95" customHeight="1" x14ac:dyDescent="0.25">
      <c r="A4003" s="2" t="s">
        <v>589</v>
      </c>
      <c r="B4003" s="2" t="s">
        <v>977</v>
      </c>
      <c r="C4003" s="5" t="s">
        <v>992</v>
      </c>
      <c r="D4003" s="2" t="s">
        <v>6032</v>
      </c>
    </row>
    <row r="4004" spans="1:4" ht="12.95" customHeight="1" x14ac:dyDescent="0.25">
      <c r="A4004" s="2" t="s">
        <v>589</v>
      </c>
      <c r="B4004" s="2" t="s">
        <v>977</v>
      </c>
      <c r="C4004" s="5" t="s">
        <v>994</v>
      </c>
      <c r="D4004" s="2" t="s">
        <v>6033</v>
      </c>
    </row>
    <row r="4005" spans="1:4" ht="12.95" customHeight="1" x14ac:dyDescent="0.25">
      <c r="A4005" s="2" t="s">
        <v>589</v>
      </c>
      <c r="B4005" s="2" t="s">
        <v>977</v>
      </c>
      <c r="C4005" s="5" t="s">
        <v>1003</v>
      </c>
      <c r="D4005" s="2" t="s">
        <v>6034</v>
      </c>
    </row>
    <row r="4006" spans="1:4" ht="12.95" customHeight="1" x14ac:dyDescent="0.25">
      <c r="A4006" s="2" t="s">
        <v>589</v>
      </c>
      <c r="B4006" s="2" t="s">
        <v>977</v>
      </c>
      <c r="C4006" s="5" t="s">
        <v>1013</v>
      </c>
      <c r="D4006" s="2" t="s">
        <v>6035</v>
      </c>
    </row>
    <row r="4007" spans="1:4" ht="12.95" customHeight="1" x14ac:dyDescent="0.25">
      <c r="A4007" s="2" t="s">
        <v>589</v>
      </c>
      <c r="B4007" s="2" t="s">
        <v>977</v>
      </c>
      <c r="C4007" s="5" t="s">
        <v>1015</v>
      </c>
      <c r="D4007" s="2" t="s">
        <v>6036</v>
      </c>
    </row>
    <row r="4008" spans="1:4" ht="12.95" customHeight="1" x14ac:dyDescent="0.25">
      <c r="A4008" s="2" t="s">
        <v>589</v>
      </c>
      <c r="B4008" s="2" t="s">
        <v>977</v>
      </c>
      <c r="C4008" s="5" t="s">
        <v>1017</v>
      </c>
      <c r="D4008" s="2" t="s">
        <v>6037</v>
      </c>
    </row>
    <row r="4009" spans="1:4" ht="12.95" customHeight="1" x14ac:dyDescent="0.25">
      <c r="A4009" s="2" t="s">
        <v>589</v>
      </c>
      <c r="B4009" s="2" t="s">
        <v>977</v>
      </c>
      <c r="C4009" s="5" t="s">
        <v>1019</v>
      </c>
      <c r="D4009" s="2" t="s">
        <v>6038</v>
      </c>
    </row>
    <row r="4010" spans="1:4" ht="12.95" customHeight="1" x14ac:dyDescent="0.25">
      <c r="A4010" s="2" t="s">
        <v>589</v>
      </c>
      <c r="B4010" s="2" t="s">
        <v>977</v>
      </c>
      <c r="C4010" s="5" t="s">
        <v>1005</v>
      </c>
      <c r="D4010" s="2" t="s">
        <v>1037</v>
      </c>
    </row>
    <row r="4011" spans="1:4" ht="12.95" customHeight="1" x14ac:dyDescent="0.25">
      <c r="A4011" s="2" t="s">
        <v>592</v>
      </c>
      <c r="B4011" s="2" t="s">
        <v>977</v>
      </c>
      <c r="C4011" s="5" t="s">
        <v>982</v>
      </c>
      <c r="D4011" s="2" t="s">
        <v>983</v>
      </c>
    </row>
    <row r="4012" spans="1:4" ht="12.95" customHeight="1" x14ac:dyDescent="0.25">
      <c r="A4012" s="2" t="s">
        <v>594</v>
      </c>
      <c r="B4012" s="2" t="s">
        <v>1040</v>
      </c>
      <c r="C4012" s="5" t="s">
        <v>1174</v>
      </c>
      <c r="D4012" s="2" t="s">
        <v>6039</v>
      </c>
    </row>
    <row r="4013" spans="1:4" ht="12.95" customHeight="1" x14ac:dyDescent="0.25">
      <c r="A4013" s="2" t="s">
        <v>594</v>
      </c>
      <c r="B4013" s="2" t="s">
        <v>1040</v>
      </c>
      <c r="C4013" s="5" t="s">
        <v>984</v>
      </c>
      <c r="D4013" s="2" t="s">
        <v>345</v>
      </c>
    </row>
    <row r="4014" spans="1:4" ht="12.95" customHeight="1" x14ac:dyDescent="0.25">
      <c r="A4014" s="2" t="s">
        <v>594</v>
      </c>
      <c r="B4014" s="2" t="s">
        <v>1040</v>
      </c>
      <c r="C4014" s="5" t="s">
        <v>986</v>
      </c>
      <c r="D4014" s="2" t="s">
        <v>6040</v>
      </c>
    </row>
    <row r="4015" spans="1:4" ht="12.95" customHeight="1" x14ac:dyDescent="0.25">
      <c r="A4015" s="2" t="s">
        <v>594</v>
      </c>
      <c r="B4015" s="2" t="s">
        <v>1040</v>
      </c>
      <c r="C4015" s="5" t="s">
        <v>988</v>
      </c>
      <c r="D4015" s="2" t="s">
        <v>6041</v>
      </c>
    </row>
    <row r="4016" spans="1:4" ht="12.95" customHeight="1" x14ac:dyDescent="0.25">
      <c r="A4016" s="2" t="s">
        <v>594</v>
      </c>
      <c r="B4016" s="2" t="s">
        <v>1040</v>
      </c>
      <c r="C4016" s="5" t="s">
        <v>990</v>
      </c>
      <c r="D4016" s="2" t="s">
        <v>6042</v>
      </c>
    </row>
    <row r="4017" spans="1:4" ht="12.95" customHeight="1" x14ac:dyDescent="0.25">
      <c r="A4017" s="2" t="s">
        <v>594</v>
      </c>
      <c r="B4017" s="2" t="s">
        <v>1040</v>
      </c>
      <c r="C4017" s="5" t="s">
        <v>992</v>
      </c>
      <c r="D4017" s="2" t="s">
        <v>6043</v>
      </c>
    </row>
    <row r="4018" spans="1:4" ht="12.95" customHeight="1" x14ac:dyDescent="0.25">
      <c r="A4018" s="2" t="s">
        <v>594</v>
      </c>
      <c r="B4018" s="2" t="s">
        <v>1040</v>
      </c>
      <c r="C4018" s="5" t="s">
        <v>994</v>
      </c>
      <c r="D4018" s="2" t="s">
        <v>6044</v>
      </c>
    </row>
    <row r="4019" spans="1:4" ht="12.95" customHeight="1" x14ac:dyDescent="0.25">
      <c r="A4019" s="2" t="s">
        <v>594</v>
      </c>
      <c r="B4019" s="2" t="s">
        <v>1040</v>
      </c>
      <c r="C4019" s="5" t="s">
        <v>1003</v>
      </c>
      <c r="D4019" s="2" t="s">
        <v>6045</v>
      </c>
    </row>
    <row r="4020" spans="1:4" ht="12.95" customHeight="1" x14ac:dyDescent="0.25">
      <c r="A4020" s="2" t="s">
        <v>594</v>
      </c>
      <c r="B4020" s="2" t="s">
        <v>1040</v>
      </c>
      <c r="C4020" s="5" t="s">
        <v>1013</v>
      </c>
      <c r="D4020" s="2" t="s">
        <v>6046</v>
      </c>
    </row>
    <row r="4021" spans="1:4" ht="12.95" customHeight="1" x14ac:dyDescent="0.25">
      <c r="A4021" s="2" t="s">
        <v>594</v>
      </c>
      <c r="B4021" s="2" t="s">
        <v>1040</v>
      </c>
      <c r="C4021" s="5" t="s">
        <v>1015</v>
      </c>
      <c r="D4021" s="2" t="s">
        <v>6047</v>
      </c>
    </row>
    <row r="4022" spans="1:4" ht="12.95" customHeight="1" x14ac:dyDescent="0.25">
      <c r="A4022" s="2" t="s">
        <v>594</v>
      </c>
      <c r="B4022" s="2" t="s">
        <v>1040</v>
      </c>
      <c r="C4022" s="5" t="s">
        <v>1017</v>
      </c>
      <c r="D4022" s="2" t="s">
        <v>6048</v>
      </c>
    </row>
    <row r="4023" spans="1:4" ht="12.95" customHeight="1" x14ac:dyDescent="0.25">
      <c r="A4023" s="2" t="s">
        <v>594</v>
      </c>
      <c r="B4023" s="2" t="s">
        <v>1040</v>
      </c>
      <c r="C4023" s="5" t="s">
        <v>1019</v>
      </c>
      <c r="D4023" s="2" t="s">
        <v>6049</v>
      </c>
    </row>
    <row r="4024" spans="1:4" ht="12.95" customHeight="1" x14ac:dyDescent="0.25">
      <c r="A4024" s="2" t="s">
        <v>594</v>
      </c>
      <c r="B4024" s="2" t="s">
        <v>1040</v>
      </c>
      <c r="C4024" s="5" t="s">
        <v>1021</v>
      </c>
      <c r="D4024" s="2" t="s">
        <v>6050</v>
      </c>
    </row>
    <row r="4025" spans="1:4" ht="12.95" customHeight="1" x14ac:dyDescent="0.25">
      <c r="A4025" s="2" t="s">
        <v>594</v>
      </c>
      <c r="B4025" s="2" t="s">
        <v>1040</v>
      </c>
      <c r="C4025" s="5" t="s">
        <v>1023</v>
      </c>
      <c r="D4025" s="2" t="s">
        <v>6051</v>
      </c>
    </row>
    <row r="4026" spans="1:4" ht="12.95" customHeight="1" x14ac:dyDescent="0.25">
      <c r="A4026" s="2" t="s">
        <v>596</v>
      </c>
      <c r="B4026" s="2" t="s">
        <v>1040</v>
      </c>
      <c r="C4026" s="5" t="s">
        <v>984</v>
      </c>
      <c r="D4026" s="2" t="s">
        <v>6052</v>
      </c>
    </row>
    <row r="4027" spans="1:4" ht="12.95" customHeight="1" x14ac:dyDescent="0.25">
      <c r="A4027" s="2" t="s">
        <v>596</v>
      </c>
      <c r="B4027" s="2" t="s">
        <v>1040</v>
      </c>
      <c r="C4027" s="5" t="s">
        <v>986</v>
      </c>
      <c r="D4027" s="2" t="s">
        <v>6053</v>
      </c>
    </row>
    <row r="4028" spans="1:4" ht="12.95" customHeight="1" x14ac:dyDescent="0.25">
      <c r="A4028" s="2" t="s">
        <v>596</v>
      </c>
      <c r="B4028" s="2" t="s">
        <v>1040</v>
      </c>
      <c r="C4028" s="5" t="s">
        <v>988</v>
      </c>
      <c r="D4028" s="2" t="s">
        <v>6054</v>
      </c>
    </row>
    <row r="4029" spans="1:4" ht="12.95" customHeight="1" x14ac:dyDescent="0.25">
      <c r="A4029" s="2" t="s">
        <v>596</v>
      </c>
      <c r="B4029" s="2" t="s">
        <v>1040</v>
      </c>
      <c r="C4029" s="5" t="s">
        <v>990</v>
      </c>
      <c r="D4029" s="2" t="s">
        <v>6055</v>
      </c>
    </row>
    <row r="4030" spans="1:4" ht="12.95" customHeight="1" x14ac:dyDescent="0.25">
      <c r="A4030" s="2" t="s">
        <v>598</v>
      </c>
      <c r="B4030" s="2" t="s">
        <v>977</v>
      </c>
      <c r="C4030" s="5" t="s">
        <v>996</v>
      </c>
      <c r="D4030" s="2" t="s">
        <v>997</v>
      </c>
    </row>
    <row r="4031" spans="1:4" ht="12.95" customHeight="1" x14ac:dyDescent="0.25">
      <c r="A4031" s="2" t="s">
        <v>598</v>
      </c>
      <c r="B4031" s="2" t="s">
        <v>977</v>
      </c>
      <c r="C4031" s="5" t="s">
        <v>978</v>
      </c>
      <c r="D4031" s="2" t="s">
        <v>979</v>
      </c>
    </row>
    <row r="4032" spans="1:4" ht="12.95" customHeight="1" x14ac:dyDescent="0.25">
      <c r="A4032" s="2" t="s">
        <v>598</v>
      </c>
      <c r="B4032" s="2" t="s">
        <v>977</v>
      </c>
      <c r="C4032" s="5" t="s">
        <v>980</v>
      </c>
      <c r="D4032" s="2" t="s">
        <v>981</v>
      </c>
    </row>
    <row r="4033" spans="1:4" ht="12.95" customHeight="1" x14ac:dyDescent="0.25">
      <c r="A4033" s="2" t="s">
        <v>598</v>
      </c>
      <c r="B4033" s="2" t="s">
        <v>977</v>
      </c>
      <c r="C4033" s="5" t="s">
        <v>982</v>
      </c>
      <c r="D4033" s="2" t="s">
        <v>983</v>
      </c>
    </row>
    <row r="4034" spans="1:4" ht="12.95" customHeight="1" x14ac:dyDescent="0.25">
      <c r="A4034" s="2" t="s">
        <v>598</v>
      </c>
      <c r="B4034" s="2" t="s">
        <v>977</v>
      </c>
      <c r="C4034" s="5" t="s">
        <v>984</v>
      </c>
      <c r="D4034" s="2" t="s">
        <v>853</v>
      </c>
    </row>
    <row r="4035" spans="1:4" ht="12.95" customHeight="1" x14ac:dyDescent="0.25">
      <c r="A4035" s="2" t="s">
        <v>598</v>
      </c>
      <c r="B4035" s="2" t="s">
        <v>977</v>
      </c>
      <c r="C4035" s="5" t="s">
        <v>986</v>
      </c>
      <c r="D4035" s="2" t="s">
        <v>1001</v>
      </c>
    </row>
    <row r="4036" spans="1:4" ht="12.95" customHeight="1" x14ac:dyDescent="0.25">
      <c r="A4036" s="2" t="s">
        <v>598</v>
      </c>
      <c r="B4036" s="2" t="s">
        <v>977</v>
      </c>
      <c r="C4036" s="5" t="s">
        <v>988</v>
      </c>
      <c r="D4036" s="2" t="s">
        <v>6056</v>
      </c>
    </row>
    <row r="4037" spans="1:4" ht="12.95" customHeight="1" x14ac:dyDescent="0.25">
      <c r="A4037" s="2" t="s">
        <v>598</v>
      </c>
      <c r="B4037" s="2" t="s">
        <v>977</v>
      </c>
      <c r="C4037" s="5" t="s">
        <v>990</v>
      </c>
      <c r="D4037" s="2" t="s">
        <v>6057</v>
      </c>
    </row>
    <row r="4038" spans="1:4" ht="12.95" customHeight="1" x14ac:dyDescent="0.25">
      <c r="A4038" s="2" t="s">
        <v>598</v>
      </c>
      <c r="B4038" s="2" t="s">
        <v>977</v>
      </c>
      <c r="C4038" s="5" t="s">
        <v>992</v>
      </c>
      <c r="D4038" s="2" t="s">
        <v>4517</v>
      </c>
    </row>
    <row r="4039" spans="1:4" ht="12.95" customHeight="1" x14ac:dyDescent="0.25">
      <c r="A4039" s="2" t="s">
        <v>598</v>
      </c>
      <c r="B4039" s="2" t="s">
        <v>977</v>
      </c>
      <c r="C4039" s="5" t="s">
        <v>994</v>
      </c>
      <c r="D4039" s="2" t="s">
        <v>6058</v>
      </c>
    </row>
    <row r="4040" spans="1:4" ht="12.95" customHeight="1" x14ac:dyDescent="0.25">
      <c r="A4040" s="2" t="s">
        <v>598</v>
      </c>
      <c r="B4040" s="2" t="s">
        <v>977</v>
      </c>
      <c r="C4040" s="5" t="s">
        <v>1003</v>
      </c>
      <c r="D4040" s="2" t="s">
        <v>6059</v>
      </c>
    </row>
    <row r="4041" spans="1:4" ht="12.95" customHeight="1" x14ac:dyDescent="0.25">
      <c r="A4041" s="2" t="s">
        <v>598</v>
      </c>
      <c r="B4041" s="2" t="s">
        <v>977</v>
      </c>
      <c r="C4041" s="5" t="s">
        <v>1013</v>
      </c>
      <c r="D4041" s="2" t="s">
        <v>6060</v>
      </c>
    </row>
    <row r="4042" spans="1:4" ht="12.95" customHeight="1" x14ac:dyDescent="0.25">
      <c r="A4042" s="2" t="s">
        <v>598</v>
      </c>
      <c r="B4042" s="2" t="s">
        <v>977</v>
      </c>
      <c r="C4042" s="5" t="s">
        <v>1015</v>
      </c>
      <c r="D4042" s="2" t="s">
        <v>6061</v>
      </c>
    </row>
    <row r="4043" spans="1:4" ht="12.95" customHeight="1" x14ac:dyDescent="0.25">
      <c r="A4043" s="2" t="s">
        <v>598</v>
      </c>
      <c r="B4043" s="2" t="s">
        <v>977</v>
      </c>
      <c r="C4043" s="5" t="s">
        <v>1017</v>
      </c>
      <c r="D4043" s="2" t="s">
        <v>6062</v>
      </c>
    </row>
    <row r="4044" spans="1:4" ht="12.95" customHeight="1" x14ac:dyDescent="0.25">
      <c r="A4044" s="2" t="s">
        <v>598</v>
      </c>
      <c r="B4044" s="2" t="s">
        <v>977</v>
      </c>
      <c r="C4044" s="5" t="s">
        <v>1019</v>
      </c>
      <c r="D4044" s="2" t="s">
        <v>6063</v>
      </c>
    </row>
    <row r="4045" spans="1:4" ht="12.95" customHeight="1" x14ac:dyDescent="0.25">
      <c r="A4045" s="2" t="s">
        <v>598</v>
      </c>
      <c r="B4045" s="2" t="s">
        <v>977</v>
      </c>
      <c r="C4045" s="5" t="s">
        <v>1021</v>
      </c>
      <c r="D4045" s="2" t="s">
        <v>6064</v>
      </c>
    </row>
    <row r="4046" spans="1:4" ht="12.95" customHeight="1" x14ac:dyDescent="0.25">
      <c r="A4046" s="2" t="s">
        <v>598</v>
      </c>
      <c r="B4046" s="2" t="s">
        <v>977</v>
      </c>
      <c r="C4046" s="5" t="s">
        <v>1023</v>
      </c>
      <c r="D4046" s="2" t="s">
        <v>6065</v>
      </c>
    </row>
    <row r="4047" spans="1:4" ht="12.95" customHeight="1" x14ac:dyDescent="0.25">
      <c r="A4047" s="2" t="s">
        <v>598</v>
      </c>
      <c r="B4047" s="2" t="s">
        <v>977</v>
      </c>
      <c r="C4047" s="5" t="s">
        <v>1025</v>
      </c>
      <c r="D4047" s="2" t="s">
        <v>6066</v>
      </c>
    </row>
    <row r="4048" spans="1:4" ht="12.95" customHeight="1" x14ac:dyDescent="0.25">
      <c r="A4048" s="2" t="s">
        <v>598</v>
      </c>
      <c r="B4048" s="2" t="s">
        <v>977</v>
      </c>
      <c r="C4048" s="5" t="s">
        <v>1027</v>
      </c>
      <c r="D4048" s="2" t="s">
        <v>6067</v>
      </c>
    </row>
    <row r="4049" spans="1:4" ht="12.95" customHeight="1" x14ac:dyDescent="0.25">
      <c r="A4049" s="2" t="s">
        <v>598</v>
      </c>
      <c r="B4049" s="2" t="s">
        <v>977</v>
      </c>
      <c r="C4049" s="5" t="s">
        <v>1029</v>
      </c>
      <c r="D4049" s="2" t="s">
        <v>6068</v>
      </c>
    </row>
    <row r="4050" spans="1:4" ht="12.95" customHeight="1" x14ac:dyDescent="0.25">
      <c r="A4050" s="2" t="s">
        <v>598</v>
      </c>
      <c r="B4050" s="2" t="s">
        <v>977</v>
      </c>
      <c r="C4050" s="5" t="s">
        <v>1031</v>
      </c>
      <c r="D4050" s="2" t="s">
        <v>6069</v>
      </c>
    </row>
    <row r="4051" spans="1:4" ht="12.95" customHeight="1" x14ac:dyDescent="0.25">
      <c r="A4051" s="2" t="s">
        <v>598</v>
      </c>
      <c r="B4051" s="2" t="s">
        <v>977</v>
      </c>
      <c r="C4051" s="5" t="s">
        <v>1033</v>
      </c>
      <c r="D4051" s="2" t="s">
        <v>6070</v>
      </c>
    </row>
    <row r="4052" spans="1:4" ht="12.95" customHeight="1" x14ac:dyDescent="0.25">
      <c r="A4052" s="2" t="s">
        <v>598</v>
      </c>
      <c r="B4052" s="2" t="s">
        <v>977</v>
      </c>
      <c r="C4052" s="5" t="s">
        <v>1035</v>
      </c>
      <c r="D4052" s="2" t="s">
        <v>3129</v>
      </c>
    </row>
    <row r="4053" spans="1:4" ht="12.95" customHeight="1" x14ac:dyDescent="0.25">
      <c r="A4053" s="2" t="s">
        <v>598</v>
      </c>
      <c r="B4053" s="2" t="s">
        <v>977</v>
      </c>
      <c r="C4053" s="5" t="s">
        <v>1177</v>
      </c>
      <c r="D4053" s="2" t="s">
        <v>6071</v>
      </c>
    </row>
    <row r="4054" spans="1:4" ht="12.95" customHeight="1" x14ac:dyDescent="0.25">
      <c r="A4054" s="2" t="s">
        <v>598</v>
      </c>
      <c r="B4054" s="2" t="s">
        <v>977</v>
      </c>
      <c r="C4054" s="5" t="s">
        <v>1005</v>
      </c>
      <c r="D4054" s="2" t="s">
        <v>1006</v>
      </c>
    </row>
    <row r="4055" spans="1:4" ht="12.95" customHeight="1" x14ac:dyDescent="0.25">
      <c r="A4055" s="2" t="s">
        <v>601</v>
      </c>
      <c r="B4055" s="2" t="s">
        <v>977</v>
      </c>
      <c r="C4055" s="5" t="s">
        <v>982</v>
      </c>
      <c r="D4055" s="2" t="s">
        <v>983</v>
      </c>
    </row>
    <row r="4056" spans="1:4" ht="12.95" customHeight="1" x14ac:dyDescent="0.25">
      <c r="A4056" s="2" t="s">
        <v>604</v>
      </c>
      <c r="B4056" s="2" t="s">
        <v>977</v>
      </c>
      <c r="C4056" s="5" t="s">
        <v>996</v>
      </c>
      <c r="D4056" s="2" t="s">
        <v>997</v>
      </c>
    </row>
    <row r="4057" spans="1:4" ht="12.95" customHeight="1" x14ac:dyDescent="0.25">
      <c r="A4057" s="2" t="s">
        <v>604</v>
      </c>
      <c r="B4057" s="2" t="s">
        <v>977</v>
      </c>
      <c r="C4057" s="5" t="s">
        <v>978</v>
      </c>
      <c r="D4057" s="2" t="s">
        <v>979</v>
      </c>
    </row>
    <row r="4058" spans="1:4" ht="12.95" customHeight="1" x14ac:dyDescent="0.25">
      <c r="A4058" s="2" t="s">
        <v>604</v>
      </c>
      <c r="B4058" s="2" t="s">
        <v>977</v>
      </c>
      <c r="C4058" s="5" t="s">
        <v>980</v>
      </c>
      <c r="D4058" s="2" t="s">
        <v>981</v>
      </c>
    </row>
    <row r="4059" spans="1:4" ht="12.95" customHeight="1" x14ac:dyDescent="0.25">
      <c r="A4059" s="2" t="s">
        <v>604</v>
      </c>
      <c r="B4059" s="2" t="s">
        <v>977</v>
      </c>
      <c r="C4059" s="5" t="s">
        <v>982</v>
      </c>
      <c r="D4059" s="2" t="s">
        <v>983</v>
      </c>
    </row>
    <row r="4060" spans="1:4" ht="12.95" customHeight="1" x14ac:dyDescent="0.25">
      <c r="A4060" s="2" t="s">
        <v>604</v>
      </c>
      <c r="B4060" s="2" t="s">
        <v>977</v>
      </c>
      <c r="C4060" s="5" t="s">
        <v>984</v>
      </c>
      <c r="D4060" s="2" t="s">
        <v>853</v>
      </c>
    </row>
    <row r="4061" spans="1:4" ht="12.95" customHeight="1" x14ac:dyDescent="0.25">
      <c r="A4061" s="2" t="s">
        <v>604</v>
      </c>
      <c r="B4061" s="2" t="s">
        <v>977</v>
      </c>
      <c r="C4061" s="5" t="s">
        <v>986</v>
      </c>
      <c r="D4061" s="2" t="s">
        <v>1001</v>
      </c>
    </row>
    <row r="4062" spans="1:4" ht="12.95" customHeight="1" x14ac:dyDescent="0.25">
      <c r="A4062" s="2" t="s">
        <v>604</v>
      </c>
      <c r="B4062" s="2" t="s">
        <v>977</v>
      </c>
      <c r="C4062" s="5" t="s">
        <v>988</v>
      </c>
      <c r="D4062" s="2" t="s">
        <v>6056</v>
      </c>
    </row>
    <row r="4063" spans="1:4" ht="12.95" customHeight="1" x14ac:dyDescent="0.25">
      <c r="A4063" s="2" t="s">
        <v>604</v>
      </c>
      <c r="B4063" s="2" t="s">
        <v>977</v>
      </c>
      <c r="C4063" s="5" t="s">
        <v>990</v>
      </c>
      <c r="D4063" s="2" t="s">
        <v>6057</v>
      </c>
    </row>
    <row r="4064" spans="1:4" ht="12.95" customHeight="1" x14ac:dyDescent="0.25">
      <c r="A4064" s="2" t="s">
        <v>604</v>
      </c>
      <c r="B4064" s="2" t="s">
        <v>977</v>
      </c>
      <c r="C4064" s="5" t="s">
        <v>992</v>
      </c>
      <c r="D4064" s="2" t="s">
        <v>4517</v>
      </c>
    </row>
    <row r="4065" spans="1:4" ht="12.95" customHeight="1" x14ac:dyDescent="0.25">
      <c r="A4065" s="2" t="s">
        <v>604</v>
      </c>
      <c r="B4065" s="2" t="s">
        <v>977</v>
      </c>
      <c r="C4065" s="5" t="s">
        <v>994</v>
      </c>
      <c r="D4065" s="2" t="s">
        <v>6058</v>
      </c>
    </row>
    <row r="4066" spans="1:4" ht="12.95" customHeight="1" x14ac:dyDescent="0.25">
      <c r="A4066" s="2" t="s">
        <v>604</v>
      </c>
      <c r="B4066" s="2" t="s">
        <v>977</v>
      </c>
      <c r="C4066" s="5" t="s">
        <v>1003</v>
      </c>
      <c r="D4066" s="2" t="s">
        <v>6059</v>
      </c>
    </row>
    <row r="4067" spans="1:4" ht="12.95" customHeight="1" x14ac:dyDescent="0.25">
      <c r="A4067" s="2" t="s">
        <v>604</v>
      </c>
      <c r="B4067" s="2" t="s">
        <v>977</v>
      </c>
      <c r="C4067" s="5" t="s">
        <v>1013</v>
      </c>
      <c r="D4067" s="2" t="s">
        <v>6060</v>
      </c>
    </row>
    <row r="4068" spans="1:4" ht="12.95" customHeight="1" x14ac:dyDescent="0.25">
      <c r="A4068" s="2" t="s">
        <v>604</v>
      </c>
      <c r="B4068" s="2" t="s">
        <v>977</v>
      </c>
      <c r="C4068" s="5" t="s">
        <v>1015</v>
      </c>
      <c r="D4068" s="2" t="s">
        <v>6061</v>
      </c>
    </row>
    <row r="4069" spans="1:4" ht="12.95" customHeight="1" x14ac:dyDescent="0.25">
      <c r="A4069" s="2" t="s">
        <v>604</v>
      </c>
      <c r="B4069" s="2" t="s">
        <v>977</v>
      </c>
      <c r="C4069" s="5" t="s">
        <v>1017</v>
      </c>
      <c r="D4069" s="2" t="s">
        <v>6062</v>
      </c>
    </row>
    <row r="4070" spans="1:4" ht="12.95" customHeight="1" x14ac:dyDescent="0.25">
      <c r="A4070" s="2" t="s">
        <v>604</v>
      </c>
      <c r="B4070" s="2" t="s">
        <v>977</v>
      </c>
      <c r="C4070" s="5" t="s">
        <v>1019</v>
      </c>
      <c r="D4070" s="2" t="s">
        <v>6063</v>
      </c>
    </row>
    <row r="4071" spans="1:4" ht="12.95" customHeight="1" x14ac:dyDescent="0.25">
      <c r="A4071" s="2" t="s">
        <v>604</v>
      </c>
      <c r="B4071" s="2" t="s">
        <v>977</v>
      </c>
      <c r="C4071" s="5" t="s">
        <v>1021</v>
      </c>
      <c r="D4071" s="2" t="s">
        <v>6064</v>
      </c>
    </row>
    <row r="4072" spans="1:4" ht="12.95" customHeight="1" x14ac:dyDescent="0.25">
      <c r="A4072" s="2" t="s">
        <v>604</v>
      </c>
      <c r="B4072" s="2" t="s">
        <v>977</v>
      </c>
      <c r="C4072" s="5" t="s">
        <v>1023</v>
      </c>
      <c r="D4072" s="2" t="s">
        <v>6065</v>
      </c>
    </row>
    <row r="4073" spans="1:4" ht="12.95" customHeight="1" x14ac:dyDescent="0.25">
      <c r="A4073" s="2" t="s">
        <v>604</v>
      </c>
      <c r="B4073" s="2" t="s">
        <v>977</v>
      </c>
      <c r="C4073" s="5" t="s">
        <v>1025</v>
      </c>
      <c r="D4073" s="2" t="s">
        <v>6066</v>
      </c>
    </row>
    <row r="4074" spans="1:4" ht="12.95" customHeight="1" x14ac:dyDescent="0.25">
      <c r="A4074" s="2" t="s">
        <v>604</v>
      </c>
      <c r="B4074" s="2" t="s">
        <v>977</v>
      </c>
      <c r="C4074" s="5" t="s">
        <v>1027</v>
      </c>
      <c r="D4074" s="2" t="s">
        <v>6067</v>
      </c>
    </row>
    <row r="4075" spans="1:4" ht="12.95" customHeight="1" x14ac:dyDescent="0.25">
      <c r="A4075" s="2" t="s">
        <v>604</v>
      </c>
      <c r="B4075" s="2" t="s">
        <v>977</v>
      </c>
      <c r="C4075" s="5" t="s">
        <v>1029</v>
      </c>
      <c r="D4075" s="2" t="s">
        <v>6068</v>
      </c>
    </row>
    <row r="4076" spans="1:4" ht="12.95" customHeight="1" x14ac:dyDescent="0.25">
      <c r="A4076" s="2" t="s">
        <v>604</v>
      </c>
      <c r="B4076" s="2" t="s">
        <v>977</v>
      </c>
      <c r="C4076" s="5" t="s">
        <v>1031</v>
      </c>
      <c r="D4076" s="2" t="s">
        <v>6069</v>
      </c>
    </row>
    <row r="4077" spans="1:4" ht="12.95" customHeight="1" x14ac:dyDescent="0.25">
      <c r="A4077" s="2" t="s">
        <v>604</v>
      </c>
      <c r="B4077" s="2" t="s">
        <v>977</v>
      </c>
      <c r="C4077" s="5" t="s">
        <v>1033</v>
      </c>
      <c r="D4077" s="2" t="s">
        <v>6070</v>
      </c>
    </row>
    <row r="4078" spans="1:4" ht="12.95" customHeight="1" x14ac:dyDescent="0.25">
      <c r="A4078" s="2" t="s">
        <v>604</v>
      </c>
      <c r="B4078" s="2" t="s">
        <v>977</v>
      </c>
      <c r="C4078" s="5" t="s">
        <v>1035</v>
      </c>
      <c r="D4078" s="2" t="s">
        <v>3129</v>
      </c>
    </row>
    <row r="4079" spans="1:4" ht="12.95" customHeight="1" x14ac:dyDescent="0.25">
      <c r="A4079" s="2" t="s">
        <v>604</v>
      </c>
      <c r="B4079" s="2" t="s">
        <v>977</v>
      </c>
      <c r="C4079" s="5" t="s">
        <v>1177</v>
      </c>
      <c r="D4079" s="2" t="s">
        <v>6071</v>
      </c>
    </row>
    <row r="4080" spans="1:4" ht="12.95" customHeight="1" x14ac:dyDescent="0.25">
      <c r="A4080" s="2" t="s">
        <v>604</v>
      </c>
      <c r="B4080" s="2" t="s">
        <v>977</v>
      </c>
      <c r="C4080" s="5" t="s">
        <v>1005</v>
      </c>
      <c r="D4080" s="2" t="s">
        <v>1006</v>
      </c>
    </row>
    <row r="4081" spans="1:4" ht="12.95" customHeight="1" x14ac:dyDescent="0.25">
      <c r="A4081" s="2" t="s">
        <v>607</v>
      </c>
      <c r="B4081" s="2" t="s">
        <v>977</v>
      </c>
      <c r="C4081" s="5" t="s">
        <v>982</v>
      </c>
      <c r="D4081" s="2" t="s">
        <v>983</v>
      </c>
    </row>
    <row r="4082" spans="1:4" ht="12.95" customHeight="1" x14ac:dyDescent="0.25">
      <c r="A4082" s="2" t="s">
        <v>610</v>
      </c>
      <c r="B4082" s="2" t="s">
        <v>977</v>
      </c>
      <c r="C4082" s="5" t="s">
        <v>996</v>
      </c>
      <c r="D4082" s="2" t="s">
        <v>997</v>
      </c>
    </row>
    <row r="4083" spans="1:4" ht="12.95" customHeight="1" x14ac:dyDescent="0.25">
      <c r="A4083" s="2" t="s">
        <v>610</v>
      </c>
      <c r="B4083" s="2" t="s">
        <v>977</v>
      </c>
      <c r="C4083" s="5" t="s">
        <v>978</v>
      </c>
      <c r="D4083" s="2" t="s">
        <v>979</v>
      </c>
    </row>
    <row r="4084" spans="1:4" ht="12.95" customHeight="1" x14ac:dyDescent="0.25">
      <c r="A4084" s="2" t="s">
        <v>610</v>
      </c>
      <c r="B4084" s="2" t="s">
        <v>977</v>
      </c>
      <c r="C4084" s="5" t="s">
        <v>980</v>
      </c>
      <c r="D4084" s="2" t="s">
        <v>981</v>
      </c>
    </row>
    <row r="4085" spans="1:4" ht="12.95" customHeight="1" x14ac:dyDescent="0.25">
      <c r="A4085" s="2" t="s">
        <v>610</v>
      </c>
      <c r="B4085" s="2" t="s">
        <v>977</v>
      </c>
      <c r="C4085" s="5" t="s">
        <v>982</v>
      </c>
      <c r="D4085" s="2" t="s">
        <v>983</v>
      </c>
    </row>
    <row r="4086" spans="1:4" ht="12.95" customHeight="1" x14ac:dyDescent="0.25">
      <c r="A4086" s="2" t="s">
        <v>610</v>
      </c>
      <c r="B4086" s="2" t="s">
        <v>977</v>
      </c>
      <c r="C4086" s="5" t="s">
        <v>984</v>
      </c>
      <c r="D4086" s="2" t="s">
        <v>6072</v>
      </c>
    </row>
    <row r="4087" spans="1:4" ht="12.95" customHeight="1" x14ac:dyDescent="0.25">
      <c r="A4087" s="2" t="s">
        <v>610</v>
      </c>
      <c r="B4087" s="2" t="s">
        <v>977</v>
      </c>
      <c r="C4087" s="5" t="s">
        <v>986</v>
      </c>
      <c r="D4087" s="2" t="s">
        <v>6073</v>
      </c>
    </row>
    <row r="4088" spans="1:4" ht="12.95" customHeight="1" x14ac:dyDescent="0.25">
      <c r="A4088" s="2" t="s">
        <v>610</v>
      </c>
      <c r="B4088" s="2" t="s">
        <v>977</v>
      </c>
      <c r="C4088" s="5" t="s">
        <v>988</v>
      </c>
      <c r="D4088" s="2" t="s">
        <v>6074</v>
      </c>
    </row>
    <row r="4089" spans="1:4" ht="12.95" customHeight="1" x14ac:dyDescent="0.25">
      <c r="A4089" s="2" t="s">
        <v>613</v>
      </c>
      <c r="B4089" s="2" t="s">
        <v>1040</v>
      </c>
      <c r="C4089" s="5" t="s">
        <v>982</v>
      </c>
      <c r="D4089" s="2" t="s">
        <v>983</v>
      </c>
    </row>
    <row r="4090" spans="1:4" ht="12.95" customHeight="1" x14ac:dyDescent="0.25">
      <c r="A4090" s="2" t="s">
        <v>615</v>
      </c>
      <c r="B4090" s="2" t="s">
        <v>1040</v>
      </c>
      <c r="C4090" s="5" t="s">
        <v>978</v>
      </c>
      <c r="D4090" s="2" t="s">
        <v>1047</v>
      </c>
    </row>
    <row r="4091" spans="1:4" ht="12.95" customHeight="1" x14ac:dyDescent="0.25">
      <c r="A4091" s="2" t="s">
        <v>615</v>
      </c>
      <c r="B4091" s="2" t="s">
        <v>1040</v>
      </c>
      <c r="C4091" s="5" t="s">
        <v>980</v>
      </c>
      <c r="D4091" s="2" t="s">
        <v>981</v>
      </c>
    </row>
    <row r="4092" spans="1:4" ht="12.95" customHeight="1" x14ac:dyDescent="0.25">
      <c r="A4092" s="2" t="s">
        <v>615</v>
      </c>
      <c r="B4092" s="2" t="s">
        <v>1040</v>
      </c>
      <c r="C4092" s="5" t="s">
        <v>982</v>
      </c>
      <c r="D4092" s="2" t="s">
        <v>983</v>
      </c>
    </row>
    <row r="4093" spans="1:4" ht="12.95" customHeight="1" x14ac:dyDescent="0.25">
      <c r="A4093" s="2" t="s">
        <v>615</v>
      </c>
      <c r="B4093" s="2" t="s">
        <v>1040</v>
      </c>
      <c r="C4093" s="5" t="s">
        <v>984</v>
      </c>
      <c r="D4093" s="2" t="s">
        <v>1042</v>
      </c>
    </row>
    <row r="4094" spans="1:4" ht="12.95" customHeight="1" x14ac:dyDescent="0.25">
      <c r="A4094" s="2" t="s">
        <v>615</v>
      </c>
      <c r="B4094" s="2" t="s">
        <v>1040</v>
      </c>
      <c r="C4094" s="5" t="s">
        <v>986</v>
      </c>
      <c r="D4094" s="2" t="s">
        <v>1064</v>
      </c>
    </row>
    <row r="4095" spans="1:4" ht="12.95" customHeight="1" x14ac:dyDescent="0.25">
      <c r="A4095" s="2" t="s">
        <v>615</v>
      </c>
      <c r="B4095" s="2" t="s">
        <v>1040</v>
      </c>
      <c r="C4095" s="5" t="s">
        <v>988</v>
      </c>
      <c r="D4095" s="2" t="s">
        <v>1044</v>
      </c>
    </row>
    <row r="4096" spans="1:4" ht="12.95" customHeight="1" x14ac:dyDescent="0.25">
      <c r="A4096" s="2" t="s">
        <v>615</v>
      </c>
      <c r="B4096" s="2" t="s">
        <v>1040</v>
      </c>
      <c r="C4096" s="5" t="s">
        <v>990</v>
      </c>
      <c r="D4096" s="2" t="s">
        <v>1045</v>
      </c>
    </row>
    <row r="4097" spans="1:4" ht="12.95" customHeight="1" x14ac:dyDescent="0.25">
      <c r="A4097" s="2" t="s">
        <v>615</v>
      </c>
      <c r="B4097" s="2" t="s">
        <v>1040</v>
      </c>
      <c r="C4097" s="5" t="s">
        <v>992</v>
      </c>
      <c r="D4097" s="2" t="s">
        <v>1046</v>
      </c>
    </row>
    <row r="4098" spans="1:4" ht="12.95" customHeight="1" x14ac:dyDescent="0.25">
      <c r="A4098" s="2" t="s">
        <v>618</v>
      </c>
      <c r="B4098" s="2" t="s">
        <v>1040</v>
      </c>
      <c r="C4098" s="5" t="s">
        <v>984</v>
      </c>
      <c r="D4098" s="2" t="s">
        <v>1061</v>
      </c>
    </row>
    <row r="4099" spans="1:4" ht="12.95" customHeight="1" x14ac:dyDescent="0.25">
      <c r="A4099" s="2" t="s">
        <v>618</v>
      </c>
      <c r="B4099" s="2" t="s">
        <v>1040</v>
      </c>
      <c r="C4099" s="5" t="s">
        <v>986</v>
      </c>
      <c r="D4099" s="2" t="s">
        <v>1062</v>
      </c>
    </row>
    <row r="4100" spans="1:4" ht="12.95" customHeight="1" x14ac:dyDescent="0.25">
      <c r="A4100" s="2" t="s">
        <v>620</v>
      </c>
      <c r="B4100" s="2" t="s">
        <v>1040</v>
      </c>
      <c r="C4100" s="5" t="s">
        <v>1174</v>
      </c>
      <c r="D4100" s="2" t="s">
        <v>6039</v>
      </c>
    </row>
    <row r="4101" spans="1:4" ht="12.95" customHeight="1" x14ac:dyDescent="0.25">
      <c r="A4101" s="2" t="s">
        <v>620</v>
      </c>
      <c r="B4101" s="2" t="s">
        <v>1040</v>
      </c>
      <c r="C4101" s="5" t="s">
        <v>984</v>
      </c>
      <c r="D4101" s="2" t="s">
        <v>345</v>
      </c>
    </row>
    <row r="4102" spans="1:4" ht="12.95" customHeight="1" x14ac:dyDescent="0.25">
      <c r="A4102" s="2" t="s">
        <v>620</v>
      </c>
      <c r="B4102" s="2" t="s">
        <v>1040</v>
      </c>
      <c r="C4102" s="5" t="s">
        <v>986</v>
      </c>
      <c r="D4102" s="2" t="s">
        <v>6040</v>
      </c>
    </row>
    <row r="4103" spans="1:4" ht="12.95" customHeight="1" x14ac:dyDescent="0.25">
      <c r="A4103" s="2" t="s">
        <v>620</v>
      </c>
      <c r="B4103" s="2" t="s">
        <v>1040</v>
      </c>
      <c r="C4103" s="5" t="s">
        <v>988</v>
      </c>
      <c r="D4103" s="2" t="s">
        <v>6041</v>
      </c>
    </row>
    <row r="4104" spans="1:4" ht="12.95" customHeight="1" x14ac:dyDescent="0.25">
      <c r="A4104" s="2" t="s">
        <v>620</v>
      </c>
      <c r="B4104" s="2" t="s">
        <v>1040</v>
      </c>
      <c r="C4104" s="5" t="s">
        <v>990</v>
      </c>
      <c r="D4104" s="2" t="s">
        <v>6042</v>
      </c>
    </row>
    <row r="4105" spans="1:4" ht="12.95" customHeight="1" x14ac:dyDescent="0.25">
      <c r="A4105" s="2" t="s">
        <v>620</v>
      </c>
      <c r="B4105" s="2" t="s">
        <v>1040</v>
      </c>
      <c r="C4105" s="5" t="s">
        <v>992</v>
      </c>
      <c r="D4105" s="2" t="s">
        <v>6043</v>
      </c>
    </row>
    <row r="4106" spans="1:4" ht="12.95" customHeight="1" x14ac:dyDescent="0.25">
      <c r="A4106" s="2" t="s">
        <v>620</v>
      </c>
      <c r="B4106" s="2" t="s">
        <v>1040</v>
      </c>
      <c r="C4106" s="5" t="s">
        <v>994</v>
      </c>
      <c r="D4106" s="2" t="s">
        <v>6044</v>
      </c>
    </row>
    <row r="4107" spans="1:4" ht="12.95" customHeight="1" x14ac:dyDescent="0.25">
      <c r="A4107" s="2" t="s">
        <v>620</v>
      </c>
      <c r="B4107" s="2" t="s">
        <v>1040</v>
      </c>
      <c r="C4107" s="5" t="s">
        <v>1003</v>
      </c>
      <c r="D4107" s="2" t="s">
        <v>6045</v>
      </c>
    </row>
    <row r="4108" spans="1:4" ht="12.95" customHeight="1" x14ac:dyDescent="0.25">
      <c r="A4108" s="2" t="s">
        <v>620</v>
      </c>
      <c r="B4108" s="2" t="s">
        <v>1040</v>
      </c>
      <c r="C4108" s="5" t="s">
        <v>1013</v>
      </c>
      <c r="D4108" s="2" t="s">
        <v>6046</v>
      </c>
    </row>
    <row r="4109" spans="1:4" ht="12.95" customHeight="1" x14ac:dyDescent="0.25">
      <c r="A4109" s="2" t="s">
        <v>620</v>
      </c>
      <c r="B4109" s="2" t="s">
        <v>1040</v>
      </c>
      <c r="C4109" s="5" t="s">
        <v>1015</v>
      </c>
      <c r="D4109" s="2" t="s">
        <v>6075</v>
      </c>
    </row>
    <row r="4110" spans="1:4" ht="12.95" customHeight="1" x14ac:dyDescent="0.25">
      <c r="A4110" s="2" t="s">
        <v>620</v>
      </c>
      <c r="B4110" s="2" t="s">
        <v>1040</v>
      </c>
      <c r="C4110" s="5" t="s">
        <v>1017</v>
      </c>
      <c r="D4110" s="2" t="s">
        <v>6048</v>
      </c>
    </row>
    <row r="4111" spans="1:4" ht="12.95" customHeight="1" x14ac:dyDescent="0.25">
      <c r="A4111" s="2" t="s">
        <v>620</v>
      </c>
      <c r="B4111" s="2" t="s">
        <v>1040</v>
      </c>
      <c r="C4111" s="5" t="s">
        <v>1019</v>
      </c>
      <c r="D4111" s="2" t="s">
        <v>6049</v>
      </c>
    </row>
    <row r="4112" spans="1:4" ht="12.95" customHeight="1" x14ac:dyDescent="0.25">
      <c r="A4112" s="2" t="s">
        <v>620</v>
      </c>
      <c r="B4112" s="2" t="s">
        <v>1040</v>
      </c>
      <c r="C4112" s="5" t="s">
        <v>1023</v>
      </c>
      <c r="D4112" s="2" t="s">
        <v>6051</v>
      </c>
    </row>
    <row r="4113" spans="1:4" ht="12.95" customHeight="1" x14ac:dyDescent="0.25">
      <c r="A4113" s="2" t="s">
        <v>622</v>
      </c>
      <c r="B4113" s="2" t="s">
        <v>1060</v>
      </c>
      <c r="C4113" s="5" t="s">
        <v>996</v>
      </c>
      <c r="D4113" s="2" t="s">
        <v>997</v>
      </c>
    </row>
    <row r="4114" spans="1:4" ht="12.95" customHeight="1" x14ac:dyDescent="0.25">
      <c r="A4114" s="2" t="s">
        <v>624</v>
      </c>
      <c r="B4114" s="2" t="s">
        <v>1060</v>
      </c>
      <c r="C4114" s="5" t="s">
        <v>996</v>
      </c>
      <c r="D4114" s="2" t="s">
        <v>997</v>
      </c>
    </row>
    <row r="4115" spans="1:4" ht="12.95" customHeight="1" x14ac:dyDescent="0.25">
      <c r="A4115" s="2" t="s">
        <v>639</v>
      </c>
      <c r="B4115" s="2" t="s">
        <v>1040</v>
      </c>
      <c r="C4115" s="5" t="s">
        <v>978</v>
      </c>
      <c r="D4115" s="2" t="s">
        <v>1047</v>
      </c>
    </row>
    <row r="4116" spans="1:4" ht="12.95" customHeight="1" x14ac:dyDescent="0.25">
      <c r="A4116" s="2" t="s">
        <v>639</v>
      </c>
      <c r="B4116" s="2" t="s">
        <v>1040</v>
      </c>
      <c r="C4116" s="5" t="s">
        <v>980</v>
      </c>
      <c r="D4116" s="2" t="s">
        <v>981</v>
      </c>
    </row>
    <row r="4117" spans="1:4" ht="12.95" customHeight="1" x14ac:dyDescent="0.25">
      <c r="A4117" s="2" t="s">
        <v>639</v>
      </c>
      <c r="B4117" s="2" t="s">
        <v>1040</v>
      </c>
      <c r="C4117" s="5" t="s">
        <v>982</v>
      </c>
      <c r="D4117" s="2" t="s">
        <v>983</v>
      </c>
    </row>
    <row r="4118" spans="1:4" ht="12.95" customHeight="1" x14ac:dyDescent="0.25">
      <c r="A4118" s="2" t="s">
        <v>639</v>
      </c>
      <c r="B4118" s="2" t="s">
        <v>1040</v>
      </c>
      <c r="C4118" s="5" t="s">
        <v>984</v>
      </c>
      <c r="D4118" s="2" t="s">
        <v>1042</v>
      </c>
    </row>
    <row r="4119" spans="1:4" ht="12.95" customHeight="1" x14ac:dyDescent="0.25">
      <c r="A4119" s="2" t="s">
        <v>639</v>
      </c>
      <c r="B4119" s="2" t="s">
        <v>1040</v>
      </c>
      <c r="C4119" s="5" t="s">
        <v>986</v>
      </c>
      <c r="D4119" s="2" t="s">
        <v>1064</v>
      </c>
    </row>
    <row r="4120" spans="1:4" ht="12.95" customHeight="1" x14ac:dyDescent="0.25">
      <c r="A4120" s="2" t="s">
        <v>639</v>
      </c>
      <c r="B4120" s="2" t="s">
        <v>1040</v>
      </c>
      <c r="C4120" s="5" t="s">
        <v>988</v>
      </c>
      <c r="D4120" s="2" t="s">
        <v>1044</v>
      </c>
    </row>
    <row r="4121" spans="1:4" ht="12.95" customHeight="1" x14ac:dyDescent="0.25">
      <c r="A4121" s="2" t="s">
        <v>639</v>
      </c>
      <c r="B4121" s="2" t="s">
        <v>1040</v>
      </c>
      <c r="C4121" s="5" t="s">
        <v>990</v>
      </c>
      <c r="D4121" s="2" t="s">
        <v>1045</v>
      </c>
    </row>
    <row r="4122" spans="1:4" ht="12.95" customHeight="1" x14ac:dyDescent="0.25">
      <c r="A4122" s="2" t="s">
        <v>639</v>
      </c>
      <c r="B4122" s="2" t="s">
        <v>1040</v>
      </c>
      <c r="C4122" s="5" t="s">
        <v>992</v>
      </c>
      <c r="D4122" s="2" t="s">
        <v>5998</v>
      </c>
    </row>
    <row r="4123" spans="1:4" ht="12.95" customHeight="1" x14ac:dyDescent="0.25">
      <c r="A4123" s="2" t="s">
        <v>642</v>
      </c>
      <c r="B4123" s="2" t="s">
        <v>1040</v>
      </c>
      <c r="C4123" s="5" t="s">
        <v>978</v>
      </c>
      <c r="D4123" s="2" t="s">
        <v>1047</v>
      </c>
    </row>
    <row r="4124" spans="1:4" ht="12.95" customHeight="1" x14ac:dyDescent="0.25">
      <c r="A4124" s="2" t="s">
        <v>642</v>
      </c>
      <c r="B4124" s="2" t="s">
        <v>1040</v>
      </c>
      <c r="C4124" s="5" t="s">
        <v>980</v>
      </c>
      <c r="D4124" s="2" t="s">
        <v>981</v>
      </c>
    </row>
    <row r="4125" spans="1:4" ht="12.95" customHeight="1" x14ac:dyDescent="0.25">
      <c r="A4125" s="2" t="s">
        <v>642</v>
      </c>
      <c r="B4125" s="2" t="s">
        <v>1040</v>
      </c>
      <c r="C4125" s="5" t="s">
        <v>982</v>
      </c>
      <c r="D4125" s="2" t="s">
        <v>983</v>
      </c>
    </row>
    <row r="4126" spans="1:4" ht="12.95" customHeight="1" x14ac:dyDescent="0.25">
      <c r="A4126" s="2" t="s">
        <v>642</v>
      </c>
      <c r="B4126" s="2" t="s">
        <v>1040</v>
      </c>
      <c r="C4126" s="5" t="s">
        <v>984</v>
      </c>
      <c r="D4126" s="2" t="s">
        <v>1042</v>
      </c>
    </row>
    <row r="4127" spans="1:4" ht="12.95" customHeight="1" x14ac:dyDescent="0.25">
      <c r="A4127" s="2" t="s">
        <v>642</v>
      </c>
      <c r="B4127" s="2" t="s">
        <v>1040</v>
      </c>
      <c r="C4127" s="5" t="s">
        <v>986</v>
      </c>
      <c r="D4127" s="2" t="s">
        <v>1043</v>
      </c>
    </row>
    <row r="4128" spans="1:4" ht="12.95" customHeight="1" x14ac:dyDescent="0.25">
      <c r="A4128" s="2" t="s">
        <v>642</v>
      </c>
      <c r="B4128" s="2" t="s">
        <v>1040</v>
      </c>
      <c r="C4128" s="5" t="s">
        <v>988</v>
      </c>
      <c r="D4128" s="2" t="s">
        <v>1044</v>
      </c>
    </row>
    <row r="4129" spans="1:4" ht="12.95" customHeight="1" x14ac:dyDescent="0.25">
      <c r="A4129" s="2" t="s">
        <v>642</v>
      </c>
      <c r="B4129" s="2" t="s">
        <v>1040</v>
      </c>
      <c r="C4129" s="5" t="s">
        <v>990</v>
      </c>
      <c r="D4129" s="2" t="s">
        <v>1045</v>
      </c>
    </row>
    <row r="4130" spans="1:4" ht="12.95" customHeight="1" x14ac:dyDescent="0.25">
      <c r="A4130" s="2" t="s">
        <v>642</v>
      </c>
      <c r="B4130" s="2" t="s">
        <v>1040</v>
      </c>
      <c r="C4130" s="5" t="s">
        <v>992</v>
      </c>
      <c r="D4130" s="2" t="s">
        <v>5998</v>
      </c>
    </row>
    <row r="4131" spans="1:4" ht="12.95" customHeight="1" x14ac:dyDescent="0.25">
      <c r="A4131" s="2" t="s">
        <v>651</v>
      </c>
      <c r="B4131" s="2" t="s">
        <v>977</v>
      </c>
      <c r="C4131" s="5" t="s">
        <v>984</v>
      </c>
      <c r="D4131" s="2" t="s">
        <v>1061</v>
      </c>
    </row>
    <row r="4132" spans="1:4" ht="12.95" customHeight="1" x14ac:dyDescent="0.25">
      <c r="A4132" s="2" t="s">
        <v>651</v>
      </c>
      <c r="B4132" s="2" t="s">
        <v>977</v>
      </c>
      <c r="C4132" s="5" t="s">
        <v>986</v>
      </c>
      <c r="D4132" s="2" t="s">
        <v>1062</v>
      </c>
    </row>
    <row r="4133" spans="1:4" ht="12.95" customHeight="1" x14ac:dyDescent="0.25">
      <c r="A4133" s="2" t="s">
        <v>655</v>
      </c>
      <c r="B4133" s="2" t="s">
        <v>1154</v>
      </c>
      <c r="C4133" s="5" t="s">
        <v>984</v>
      </c>
      <c r="D4133" s="2" t="s">
        <v>1061</v>
      </c>
    </row>
    <row r="4134" spans="1:4" ht="12.95" customHeight="1" x14ac:dyDescent="0.25">
      <c r="A4134" s="2" t="s">
        <v>655</v>
      </c>
      <c r="B4134" s="2" t="s">
        <v>1154</v>
      </c>
      <c r="C4134" s="5" t="s">
        <v>986</v>
      </c>
      <c r="D4134" s="2" t="s">
        <v>1062</v>
      </c>
    </row>
    <row r="4135" spans="1:4" ht="12.95" customHeight="1" x14ac:dyDescent="0.25">
      <c r="A4135" s="2" t="s">
        <v>657</v>
      </c>
      <c r="B4135" s="2" t="s">
        <v>977</v>
      </c>
      <c r="C4135" s="5" t="s">
        <v>996</v>
      </c>
      <c r="D4135" s="2" t="s">
        <v>997</v>
      </c>
    </row>
    <row r="4136" spans="1:4" ht="12.95" customHeight="1" x14ac:dyDescent="0.25">
      <c r="A4136" s="2" t="s">
        <v>657</v>
      </c>
      <c r="B4136" s="2" t="s">
        <v>977</v>
      </c>
      <c r="C4136" s="5" t="s">
        <v>978</v>
      </c>
      <c r="D4136" s="2" t="s">
        <v>979</v>
      </c>
    </row>
    <row r="4137" spans="1:4" ht="12.95" customHeight="1" x14ac:dyDescent="0.25">
      <c r="A4137" s="2" t="s">
        <v>657</v>
      </c>
      <c r="B4137" s="2" t="s">
        <v>977</v>
      </c>
      <c r="C4137" s="5" t="s">
        <v>980</v>
      </c>
      <c r="D4137" s="2" t="s">
        <v>981</v>
      </c>
    </row>
    <row r="4138" spans="1:4" ht="12.95" customHeight="1" x14ac:dyDescent="0.25">
      <c r="A4138" s="2" t="s">
        <v>657</v>
      </c>
      <c r="B4138" s="2" t="s">
        <v>977</v>
      </c>
      <c r="C4138" s="5" t="s">
        <v>982</v>
      </c>
      <c r="D4138" s="2" t="s">
        <v>983</v>
      </c>
    </row>
    <row r="4139" spans="1:4" ht="12.95" customHeight="1" x14ac:dyDescent="0.25">
      <c r="A4139" s="2" t="s">
        <v>662</v>
      </c>
      <c r="B4139" s="2" t="s">
        <v>1154</v>
      </c>
      <c r="C4139" s="5" t="s">
        <v>996</v>
      </c>
      <c r="D4139" s="2" t="s">
        <v>997</v>
      </c>
    </row>
    <row r="4140" spans="1:4" ht="12.95" customHeight="1" x14ac:dyDescent="0.25">
      <c r="A4140" s="2" t="s">
        <v>662</v>
      </c>
      <c r="B4140" s="2" t="s">
        <v>1154</v>
      </c>
      <c r="C4140" s="5" t="s">
        <v>978</v>
      </c>
      <c r="D4140" s="2" t="s">
        <v>1047</v>
      </c>
    </row>
    <row r="4141" spans="1:4" ht="12.95" customHeight="1" x14ac:dyDescent="0.25">
      <c r="A4141" s="2" t="s">
        <v>662</v>
      </c>
      <c r="B4141" s="2" t="s">
        <v>1154</v>
      </c>
      <c r="C4141" s="5" t="s">
        <v>980</v>
      </c>
      <c r="D4141" s="2" t="s">
        <v>1041</v>
      </c>
    </row>
    <row r="4142" spans="1:4" ht="12.95" customHeight="1" x14ac:dyDescent="0.25">
      <c r="A4142" s="2" t="s">
        <v>662</v>
      </c>
      <c r="B4142" s="2" t="s">
        <v>1154</v>
      </c>
      <c r="C4142" s="5" t="s">
        <v>982</v>
      </c>
      <c r="D4142" s="2" t="s">
        <v>983</v>
      </c>
    </row>
    <row r="4143" spans="1:4" ht="12.95" customHeight="1" x14ac:dyDescent="0.25">
      <c r="A4143" s="2" t="s">
        <v>662</v>
      </c>
      <c r="B4143" s="2" t="s">
        <v>1154</v>
      </c>
      <c r="C4143" s="5" t="s">
        <v>984</v>
      </c>
      <c r="D4143" s="2" t="s">
        <v>853</v>
      </c>
    </row>
    <row r="4144" spans="1:4" ht="12.95" customHeight="1" x14ac:dyDescent="0.25">
      <c r="A4144" s="2" t="s">
        <v>662</v>
      </c>
      <c r="B4144" s="2" t="s">
        <v>1154</v>
      </c>
      <c r="C4144" s="5" t="s">
        <v>986</v>
      </c>
      <c r="D4144" s="2" t="s">
        <v>6076</v>
      </c>
    </row>
    <row r="4145" spans="1:4" ht="12.95" customHeight="1" x14ac:dyDescent="0.25">
      <c r="A4145" s="2" t="s">
        <v>662</v>
      </c>
      <c r="B4145" s="2" t="s">
        <v>1154</v>
      </c>
      <c r="C4145" s="5" t="s">
        <v>988</v>
      </c>
      <c r="D4145" s="2" t="s">
        <v>6056</v>
      </c>
    </row>
    <row r="4146" spans="1:4" ht="12.95" customHeight="1" x14ac:dyDescent="0.25">
      <c r="A4146" s="2" t="s">
        <v>662</v>
      </c>
      <c r="B4146" s="2" t="s">
        <v>1154</v>
      </c>
      <c r="C4146" s="5" t="s">
        <v>990</v>
      </c>
      <c r="D4146" s="2" t="s">
        <v>6057</v>
      </c>
    </row>
    <row r="4147" spans="1:4" ht="12.95" customHeight="1" x14ac:dyDescent="0.25">
      <c r="A4147" s="2" t="s">
        <v>662</v>
      </c>
      <c r="B4147" s="2" t="s">
        <v>1154</v>
      </c>
      <c r="C4147" s="5" t="s">
        <v>992</v>
      </c>
      <c r="D4147" s="2" t="s">
        <v>6077</v>
      </c>
    </row>
    <row r="4148" spans="1:4" ht="12.95" customHeight="1" x14ac:dyDescent="0.25">
      <c r="A4148" s="2" t="s">
        <v>662</v>
      </c>
      <c r="B4148" s="2" t="s">
        <v>1154</v>
      </c>
      <c r="C4148" s="5" t="s">
        <v>994</v>
      </c>
      <c r="D4148" s="2" t="s">
        <v>6078</v>
      </c>
    </row>
    <row r="4149" spans="1:4" ht="12.95" customHeight="1" x14ac:dyDescent="0.25">
      <c r="A4149" s="2" t="s">
        <v>662</v>
      </c>
      <c r="B4149" s="2" t="s">
        <v>1154</v>
      </c>
      <c r="C4149" s="5" t="s">
        <v>1003</v>
      </c>
      <c r="D4149" s="2" t="s">
        <v>6079</v>
      </c>
    </row>
    <row r="4150" spans="1:4" ht="12.95" customHeight="1" x14ac:dyDescent="0.25">
      <c r="A4150" s="2" t="s">
        <v>662</v>
      </c>
      <c r="B4150" s="2" t="s">
        <v>1154</v>
      </c>
      <c r="C4150" s="5" t="s">
        <v>1013</v>
      </c>
      <c r="D4150" s="2" t="s">
        <v>6080</v>
      </c>
    </row>
    <row r="4151" spans="1:4" ht="12.95" customHeight="1" x14ac:dyDescent="0.25">
      <c r="A4151" s="2" t="s">
        <v>662</v>
      </c>
      <c r="B4151" s="2" t="s">
        <v>1154</v>
      </c>
      <c r="C4151" s="5" t="s">
        <v>1015</v>
      </c>
      <c r="D4151" s="2" t="s">
        <v>6081</v>
      </c>
    </row>
    <row r="4152" spans="1:4" ht="12.95" customHeight="1" x14ac:dyDescent="0.25">
      <c r="A4152" s="2" t="s">
        <v>662</v>
      </c>
      <c r="B4152" s="2" t="s">
        <v>1154</v>
      </c>
      <c r="C4152" s="5" t="s">
        <v>1017</v>
      </c>
      <c r="D4152" s="2" t="s">
        <v>6082</v>
      </c>
    </row>
    <row r="4153" spans="1:4" ht="12.95" customHeight="1" x14ac:dyDescent="0.25">
      <c r="A4153" s="2" t="s">
        <v>662</v>
      </c>
      <c r="B4153" s="2" t="s">
        <v>1154</v>
      </c>
      <c r="C4153" s="5" t="s">
        <v>1019</v>
      </c>
      <c r="D4153" s="2" t="s">
        <v>6083</v>
      </c>
    </row>
    <row r="4154" spans="1:4" ht="12.95" customHeight="1" x14ac:dyDescent="0.25">
      <c r="A4154" s="2" t="s">
        <v>662</v>
      </c>
      <c r="B4154" s="2" t="s">
        <v>1154</v>
      </c>
      <c r="C4154" s="5" t="s">
        <v>1021</v>
      </c>
      <c r="D4154" s="2" t="s">
        <v>6064</v>
      </c>
    </row>
    <row r="4155" spans="1:4" ht="12.95" customHeight="1" x14ac:dyDescent="0.25">
      <c r="A4155" s="2" t="s">
        <v>662</v>
      </c>
      <c r="B4155" s="2" t="s">
        <v>1154</v>
      </c>
      <c r="C4155" s="5" t="s">
        <v>1023</v>
      </c>
      <c r="D4155" s="2" t="s">
        <v>6084</v>
      </c>
    </row>
    <row r="4156" spans="1:4" ht="12.95" customHeight="1" x14ac:dyDescent="0.25">
      <c r="A4156" s="2" t="s">
        <v>662</v>
      </c>
      <c r="B4156" s="2" t="s">
        <v>1154</v>
      </c>
      <c r="C4156" s="5" t="s">
        <v>1025</v>
      </c>
      <c r="D4156" s="2" t="s">
        <v>6066</v>
      </c>
    </row>
    <row r="4157" spans="1:4" ht="12.95" customHeight="1" x14ac:dyDescent="0.25">
      <c r="A4157" s="2" t="s">
        <v>662</v>
      </c>
      <c r="B4157" s="2" t="s">
        <v>1154</v>
      </c>
      <c r="C4157" s="5" t="s">
        <v>1027</v>
      </c>
      <c r="D4157" s="2" t="s">
        <v>6067</v>
      </c>
    </row>
    <row r="4158" spans="1:4" ht="12.95" customHeight="1" x14ac:dyDescent="0.25">
      <c r="A4158" s="2" t="s">
        <v>662</v>
      </c>
      <c r="B4158" s="2" t="s">
        <v>1154</v>
      </c>
      <c r="C4158" s="5" t="s">
        <v>1029</v>
      </c>
      <c r="D4158" s="2" t="s">
        <v>6085</v>
      </c>
    </row>
    <row r="4159" spans="1:4" ht="12.95" customHeight="1" x14ac:dyDescent="0.25">
      <c r="A4159" s="2" t="s">
        <v>662</v>
      </c>
      <c r="B4159" s="2" t="s">
        <v>1154</v>
      </c>
      <c r="C4159" s="5" t="s">
        <v>1031</v>
      </c>
      <c r="D4159" s="2" t="s">
        <v>6086</v>
      </c>
    </row>
    <row r="4160" spans="1:4" ht="12.95" customHeight="1" x14ac:dyDescent="0.25">
      <c r="A4160" s="2" t="s">
        <v>662</v>
      </c>
      <c r="B4160" s="2" t="s">
        <v>1154</v>
      </c>
      <c r="C4160" s="5" t="s">
        <v>1033</v>
      </c>
      <c r="D4160" s="2" t="s">
        <v>1000</v>
      </c>
    </row>
    <row r="4161" spans="1:4" ht="12.95" customHeight="1" x14ac:dyDescent="0.25">
      <c r="A4161" s="2" t="s">
        <v>662</v>
      </c>
      <c r="B4161" s="2" t="s">
        <v>1154</v>
      </c>
      <c r="C4161" s="5" t="s">
        <v>1035</v>
      </c>
      <c r="D4161" s="2" t="s">
        <v>6087</v>
      </c>
    </row>
    <row r="4162" spans="1:4" ht="12.95" customHeight="1" x14ac:dyDescent="0.25">
      <c r="A4162" s="2" t="s">
        <v>662</v>
      </c>
      <c r="B4162" s="2" t="s">
        <v>1154</v>
      </c>
      <c r="C4162" s="5" t="s">
        <v>1177</v>
      </c>
      <c r="D4162" s="2" t="s">
        <v>6071</v>
      </c>
    </row>
    <row r="4163" spans="1:4" ht="12.95" customHeight="1" x14ac:dyDescent="0.25">
      <c r="A4163" s="2" t="s">
        <v>662</v>
      </c>
      <c r="B4163" s="2" t="s">
        <v>1154</v>
      </c>
      <c r="C4163" s="5" t="s">
        <v>1005</v>
      </c>
      <c r="D4163" s="2" t="s">
        <v>6088</v>
      </c>
    </row>
    <row r="4164" spans="1:4" ht="12.95" customHeight="1" x14ac:dyDescent="0.25">
      <c r="A4164" s="2" t="s">
        <v>665</v>
      </c>
      <c r="B4164" s="2" t="s">
        <v>1154</v>
      </c>
      <c r="C4164" s="5" t="s">
        <v>996</v>
      </c>
      <c r="D4164" s="2" t="s">
        <v>997</v>
      </c>
    </row>
    <row r="4165" spans="1:4" ht="12.95" customHeight="1" x14ac:dyDescent="0.25">
      <c r="A4165" s="2" t="s">
        <v>665</v>
      </c>
      <c r="B4165" s="2" t="s">
        <v>1154</v>
      </c>
      <c r="C4165" s="5" t="s">
        <v>978</v>
      </c>
      <c r="D4165" s="2" t="s">
        <v>1047</v>
      </c>
    </row>
    <row r="4166" spans="1:4" ht="12.95" customHeight="1" x14ac:dyDescent="0.25">
      <c r="A4166" s="2" t="s">
        <v>665</v>
      </c>
      <c r="B4166" s="2" t="s">
        <v>1154</v>
      </c>
      <c r="C4166" s="5" t="s">
        <v>980</v>
      </c>
      <c r="D4166" s="2" t="s">
        <v>1041</v>
      </c>
    </row>
    <row r="4167" spans="1:4" ht="12.95" customHeight="1" x14ac:dyDescent="0.25">
      <c r="A4167" s="2" t="s">
        <v>665</v>
      </c>
      <c r="B4167" s="2" t="s">
        <v>1154</v>
      </c>
      <c r="C4167" s="5" t="s">
        <v>982</v>
      </c>
      <c r="D4167" s="2" t="s">
        <v>983</v>
      </c>
    </row>
    <row r="4168" spans="1:4" ht="12.95" customHeight="1" x14ac:dyDescent="0.25">
      <c r="A4168" s="2" t="s">
        <v>665</v>
      </c>
      <c r="B4168" s="2" t="s">
        <v>1154</v>
      </c>
      <c r="C4168" s="5" t="s">
        <v>984</v>
      </c>
      <c r="D4168" s="2" t="s">
        <v>853</v>
      </c>
    </row>
    <row r="4169" spans="1:4" ht="12.95" customHeight="1" x14ac:dyDescent="0.25">
      <c r="A4169" s="2" t="s">
        <v>665</v>
      </c>
      <c r="B4169" s="2" t="s">
        <v>1154</v>
      </c>
      <c r="C4169" s="5" t="s">
        <v>986</v>
      </c>
      <c r="D4169" s="2" t="s">
        <v>6076</v>
      </c>
    </row>
    <row r="4170" spans="1:4" ht="12.95" customHeight="1" x14ac:dyDescent="0.25">
      <c r="A4170" s="2" t="s">
        <v>665</v>
      </c>
      <c r="B4170" s="2" t="s">
        <v>1154</v>
      </c>
      <c r="C4170" s="5" t="s">
        <v>988</v>
      </c>
      <c r="D4170" s="2" t="s">
        <v>6056</v>
      </c>
    </row>
    <row r="4171" spans="1:4" ht="12.95" customHeight="1" x14ac:dyDescent="0.25">
      <c r="A4171" s="2" t="s">
        <v>665</v>
      </c>
      <c r="B4171" s="2" t="s">
        <v>1154</v>
      </c>
      <c r="C4171" s="5" t="s">
        <v>990</v>
      </c>
      <c r="D4171" s="2" t="s">
        <v>6057</v>
      </c>
    </row>
    <row r="4172" spans="1:4" ht="12.95" customHeight="1" x14ac:dyDescent="0.25">
      <c r="A4172" s="2" t="s">
        <v>665</v>
      </c>
      <c r="B4172" s="2" t="s">
        <v>1154</v>
      </c>
      <c r="C4172" s="5" t="s">
        <v>992</v>
      </c>
      <c r="D4172" s="2" t="s">
        <v>6077</v>
      </c>
    </row>
    <row r="4173" spans="1:4" ht="12.95" customHeight="1" x14ac:dyDescent="0.25">
      <c r="A4173" s="2" t="s">
        <v>665</v>
      </c>
      <c r="B4173" s="2" t="s">
        <v>1154</v>
      </c>
      <c r="C4173" s="5" t="s">
        <v>994</v>
      </c>
      <c r="D4173" s="2" t="s">
        <v>6078</v>
      </c>
    </row>
    <row r="4174" spans="1:4" ht="12.95" customHeight="1" x14ac:dyDescent="0.25">
      <c r="A4174" s="2" t="s">
        <v>665</v>
      </c>
      <c r="B4174" s="2" t="s">
        <v>1154</v>
      </c>
      <c r="C4174" s="5" t="s">
        <v>1003</v>
      </c>
      <c r="D4174" s="2" t="s">
        <v>6079</v>
      </c>
    </row>
    <row r="4175" spans="1:4" ht="12.95" customHeight="1" x14ac:dyDescent="0.25">
      <c r="A4175" s="2" t="s">
        <v>665</v>
      </c>
      <c r="B4175" s="2" t="s">
        <v>1154</v>
      </c>
      <c r="C4175" s="5" t="s">
        <v>1013</v>
      </c>
      <c r="D4175" s="2" t="s">
        <v>6080</v>
      </c>
    </row>
    <row r="4176" spans="1:4" ht="12.95" customHeight="1" x14ac:dyDescent="0.25">
      <c r="A4176" s="2" t="s">
        <v>665</v>
      </c>
      <c r="B4176" s="2" t="s">
        <v>1154</v>
      </c>
      <c r="C4176" s="5" t="s">
        <v>1015</v>
      </c>
      <c r="D4176" s="2" t="s">
        <v>6081</v>
      </c>
    </row>
    <row r="4177" spans="1:4" ht="12.95" customHeight="1" x14ac:dyDescent="0.25">
      <c r="A4177" s="2" t="s">
        <v>665</v>
      </c>
      <c r="B4177" s="2" t="s">
        <v>1154</v>
      </c>
      <c r="C4177" s="5" t="s">
        <v>1017</v>
      </c>
      <c r="D4177" s="2" t="s">
        <v>6082</v>
      </c>
    </row>
    <row r="4178" spans="1:4" ht="12.95" customHeight="1" x14ac:dyDescent="0.25">
      <c r="A4178" s="2" t="s">
        <v>665</v>
      </c>
      <c r="B4178" s="2" t="s">
        <v>1154</v>
      </c>
      <c r="C4178" s="5" t="s">
        <v>1019</v>
      </c>
      <c r="D4178" s="2" t="s">
        <v>6083</v>
      </c>
    </row>
    <row r="4179" spans="1:4" ht="12.95" customHeight="1" x14ac:dyDescent="0.25">
      <c r="A4179" s="2" t="s">
        <v>665</v>
      </c>
      <c r="B4179" s="2" t="s">
        <v>1154</v>
      </c>
      <c r="C4179" s="5" t="s">
        <v>1021</v>
      </c>
      <c r="D4179" s="2" t="s">
        <v>6064</v>
      </c>
    </row>
    <row r="4180" spans="1:4" ht="12.95" customHeight="1" x14ac:dyDescent="0.25">
      <c r="A4180" s="2" t="s">
        <v>665</v>
      </c>
      <c r="B4180" s="2" t="s">
        <v>1154</v>
      </c>
      <c r="C4180" s="5" t="s">
        <v>1023</v>
      </c>
      <c r="D4180" s="2" t="s">
        <v>6084</v>
      </c>
    </row>
    <row r="4181" spans="1:4" ht="12.95" customHeight="1" x14ac:dyDescent="0.25">
      <c r="A4181" s="2" t="s">
        <v>665</v>
      </c>
      <c r="B4181" s="2" t="s">
        <v>1154</v>
      </c>
      <c r="C4181" s="5" t="s">
        <v>1025</v>
      </c>
      <c r="D4181" s="2" t="s">
        <v>6066</v>
      </c>
    </row>
    <row r="4182" spans="1:4" ht="12.95" customHeight="1" x14ac:dyDescent="0.25">
      <c r="A4182" s="2" t="s">
        <v>665</v>
      </c>
      <c r="B4182" s="2" t="s">
        <v>1154</v>
      </c>
      <c r="C4182" s="5" t="s">
        <v>1027</v>
      </c>
      <c r="D4182" s="2" t="s">
        <v>6067</v>
      </c>
    </row>
    <row r="4183" spans="1:4" ht="12.95" customHeight="1" x14ac:dyDescent="0.25">
      <c r="A4183" s="2" t="s">
        <v>665</v>
      </c>
      <c r="B4183" s="2" t="s">
        <v>1154</v>
      </c>
      <c r="C4183" s="5" t="s">
        <v>1029</v>
      </c>
      <c r="D4183" s="2" t="s">
        <v>6085</v>
      </c>
    </row>
    <row r="4184" spans="1:4" ht="12.95" customHeight="1" x14ac:dyDescent="0.25">
      <c r="A4184" s="2" t="s">
        <v>665</v>
      </c>
      <c r="B4184" s="2" t="s">
        <v>1154</v>
      </c>
      <c r="C4184" s="5" t="s">
        <v>1031</v>
      </c>
      <c r="D4184" s="2" t="s">
        <v>6086</v>
      </c>
    </row>
    <row r="4185" spans="1:4" ht="12.95" customHeight="1" x14ac:dyDescent="0.25">
      <c r="A4185" s="2" t="s">
        <v>665</v>
      </c>
      <c r="B4185" s="2" t="s">
        <v>1154</v>
      </c>
      <c r="C4185" s="5" t="s">
        <v>1033</v>
      </c>
      <c r="D4185" s="2" t="s">
        <v>1000</v>
      </c>
    </row>
    <row r="4186" spans="1:4" ht="12.95" customHeight="1" x14ac:dyDescent="0.25">
      <c r="A4186" s="2" t="s">
        <v>665</v>
      </c>
      <c r="B4186" s="2" t="s">
        <v>1154</v>
      </c>
      <c r="C4186" s="5" t="s">
        <v>1035</v>
      </c>
      <c r="D4186" s="2" t="s">
        <v>6087</v>
      </c>
    </row>
    <row r="4187" spans="1:4" ht="12.95" customHeight="1" x14ac:dyDescent="0.25">
      <c r="A4187" s="2" t="s">
        <v>665</v>
      </c>
      <c r="B4187" s="2" t="s">
        <v>1154</v>
      </c>
      <c r="C4187" s="5" t="s">
        <v>1177</v>
      </c>
      <c r="D4187" s="2" t="s">
        <v>6071</v>
      </c>
    </row>
    <row r="4188" spans="1:4" ht="12.95" customHeight="1" x14ac:dyDescent="0.25">
      <c r="A4188" s="2" t="s">
        <v>665</v>
      </c>
      <c r="B4188" s="2" t="s">
        <v>1154</v>
      </c>
      <c r="C4188" s="5" t="s">
        <v>1005</v>
      </c>
      <c r="D4188" s="2" t="s">
        <v>6088</v>
      </c>
    </row>
    <row r="4189" spans="1:4" ht="12.95" customHeight="1" x14ac:dyDescent="0.25">
      <c r="A4189" s="2" t="s">
        <v>667</v>
      </c>
      <c r="B4189" s="2" t="s">
        <v>1154</v>
      </c>
      <c r="C4189" s="5" t="s">
        <v>996</v>
      </c>
      <c r="D4189" s="2" t="s">
        <v>997</v>
      </c>
    </row>
    <row r="4190" spans="1:4" ht="12.95" customHeight="1" x14ac:dyDescent="0.25">
      <c r="A4190" s="2" t="s">
        <v>667</v>
      </c>
      <c r="B4190" s="2" t="s">
        <v>1154</v>
      </c>
      <c r="C4190" s="5" t="s">
        <v>978</v>
      </c>
      <c r="D4190" s="2" t="s">
        <v>1047</v>
      </c>
    </row>
    <row r="4191" spans="1:4" ht="12.95" customHeight="1" x14ac:dyDescent="0.25">
      <c r="A4191" s="2" t="s">
        <v>667</v>
      </c>
      <c r="B4191" s="2" t="s">
        <v>1154</v>
      </c>
      <c r="C4191" s="5" t="s">
        <v>980</v>
      </c>
      <c r="D4191" s="2" t="s">
        <v>1041</v>
      </c>
    </row>
    <row r="4192" spans="1:4" ht="12.95" customHeight="1" x14ac:dyDescent="0.25">
      <c r="A4192" s="2" t="s">
        <v>667</v>
      </c>
      <c r="B4192" s="2" t="s">
        <v>1154</v>
      </c>
      <c r="C4192" s="5" t="s">
        <v>982</v>
      </c>
      <c r="D4192" s="2" t="s">
        <v>983</v>
      </c>
    </row>
    <row r="4193" spans="1:4" ht="12.95" customHeight="1" x14ac:dyDescent="0.25">
      <c r="A4193" s="2" t="s">
        <v>667</v>
      </c>
      <c r="B4193" s="2" t="s">
        <v>1154</v>
      </c>
      <c r="C4193" s="5" t="s">
        <v>984</v>
      </c>
      <c r="D4193" s="2" t="s">
        <v>853</v>
      </c>
    </row>
    <row r="4194" spans="1:4" ht="12.95" customHeight="1" x14ac:dyDescent="0.25">
      <c r="A4194" s="2" t="s">
        <v>667</v>
      </c>
      <c r="B4194" s="2" t="s">
        <v>1154</v>
      </c>
      <c r="C4194" s="5" t="s">
        <v>986</v>
      </c>
      <c r="D4194" s="2" t="s">
        <v>6076</v>
      </c>
    </row>
    <row r="4195" spans="1:4" ht="12.95" customHeight="1" x14ac:dyDescent="0.25">
      <c r="A4195" s="2" t="s">
        <v>667</v>
      </c>
      <c r="B4195" s="2" t="s">
        <v>1154</v>
      </c>
      <c r="C4195" s="5" t="s">
        <v>988</v>
      </c>
      <c r="D4195" s="2" t="s">
        <v>6056</v>
      </c>
    </row>
    <row r="4196" spans="1:4" ht="12.95" customHeight="1" x14ac:dyDescent="0.25">
      <c r="A4196" s="2" t="s">
        <v>667</v>
      </c>
      <c r="B4196" s="2" t="s">
        <v>1154</v>
      </c>
      <c r="C4196" s="5" t="s">
        <v>990</v>
      </c>
      <c r="D4196" s="2" t="s">
        <v>6057</v>
      </c>
    </row>
    <row r="4197" spans="1:4" ht="12.95" customHeight="1" x14ac:dyDescent="0.25">
      <c r="A4197" s="2" t="s">
        <v>667</v>
      </c>
      <c r="B4197" s="2" t="s">
        <v>1154</v>
      </c>
      <c r="C4197" s="5" t="s">
        <v>992</v>
      </c>
      <c r="D4197" s="2" t="s">
        <v>6077</v>
      </c>
    </row>
    <row r="4198" spans="1:4" ht="12.95" customHeight="1" x14ac:dyDescent="0.25">
      <c r="A4198" s="2" t="s">
        <v>667</v>
      </c>
      <c r="B4198" s="2" t="s">
        <v>1154</v>
      </c>
      <c r="C4198" s="5" t="s">
        <v>994</v>
      </c>
      <c r="D4198" s="2" t="s">
        <v>6078</v>
      </c>
    </row>
    <row r="4199" spans="1:4" ht="12.95" customHeight="1" x14ac:dyDescent="0.25">
      <c r="A4199" s="2" t="s">
        <v>667</v>
      </c>
      <c r="B4199" s="2" t="s">
        <v>1154</v>
      </c>
      <c r="C4199" s="5" t="s">
        <v>1003</v>
      </c>
      <c r="D4199" s="2" t="s">
        <v>6079</v>
      </c>
    </row>
    <row r="4200" spans="1:4" ht="12.95" customHeight="1" x14ac:dyDescent="0.25">
      <c r="A4200" s="2" t="s">
        <v>667</v>
      </c>
      <c r="B4200" s="2" t="s">
        <v>1154</v>
      </c>
      <c r="C4200" s="5" t="s">
        <v>1013</v>
      </c>
      <c r="D4200" s="2" t="s">
        <v>6080</v>
      </c>
    </row>
    <row r="4201" spans="1:4" ht="12.95" customHeight="1" x14ac:dyDescent="0.25">
      <c r="A4201" s="2" t="s">
        <v>667</v>
      </c>
      <c r="B4201" s="2" t="s">
        <v>1154</v>
      </c>
      <c r="C4201" s="5" t="s">
        <v>1015</v>
      </c>
      <c r="D4201" s="2" t="s">
        <v>6081</v>
      </c>
    </row>
    <row r="4202" spans="1:4" ht="12.95" customHeight="1" x14ac:dyDescent="0.25">
      <c r="A4202" s="2" t="s">
        <v>667</v>
      </c>
      <c r="B4202" s="2" t="s">
        <v>1154</v>
      </c>
      <c r="C4202" s="5" t="s">
        <v>1017</v>
      </c>
      <c r="D4202" s="2" t="s">
        <v>6082</v>
      </c>
    </row>
    <row r="4203" spans="1:4" ht="12.95" customHeight="1" x14ac:dyDescent="0.25">
      <c r="A4203" s="2" t="s">
        <v>667</v>
      </c>
      <c r="B4203" s="2" t="s">
        <v>1154</v>
      </c>
      <c r="C4203" s="5" t="s">
        <v>1019</v>
      </c>
      <c r="D4203" s="2" t="s">
        <v>6083</v>
      </c>
    </row>
    <row r="4204" spans="1:4" ht="12.95" customHeight="1" x14ac:dyDescent="0.25">
      <c r="A4204" s="2" t="s">
        <v>667</v>
      </c>
      <c r="B4204" s="2" t="s">
        <v>1154</v>
      </c>
      <c r="C4204" s="5" t="s">
        <v>1021</v>
      </c>
      <c r="D4204" s="2" t="s">
        <v>6064</v>
      </c>
    </row>
    <row r="4205" spans="1:4" ht="12.95" customHeight="1" x14ac:dyDescent="0.25">
      <c r="A4205" s="2" t="s">
        <v>667</v>
      </c>
      <c r="B4205" s="2" t="s">
        <v>1154</v>
      </c>
      <c r="C4205" s="5" t="s">
        <v>1023</v>
      </c>
      <c r="D4205" s="2" t="s">
        <v>6084</v>
      </c>
    </row>
    <row r="4206" spans="1:4" ht="12.95" customHeight="1" x14ac:dyDescent="0.25">
      <c r="A4206" s="2" t="s">
        <v>667</v>
      </c>
      <c r="B4206" s="2" t="s">
        <v>1154</v>
      </c>
      <c r="C4206" s="5" t="s">
        <v>1025</v>
      </c>
      <c r="D4206" s="2" t="s">
        <v>6066</v>
      </c>
    </row>
    <row r="4207" spans="1:4" ht="12.95" customHeight="1" x14ac:dyDescent="0.25">
      <c r="A4207" s="2" t="s">
        <v>667</v>
      </c>
      <c r="B4207" s="2" t="s">
        <v>1154</v>
      </c>
      <c r="C4207" s="5" t="s">
        <v>1027</v>
      </c>
      <c r="D4207" s="2" t="s">
        <v>6067</v>
      </c>
    </row>
    <row r="4208" spans="1:4" ht="12.95" customHeight="1" x14ac:dyDescent="0.25">
      <c r="A4208" s="2" t="s">
        <v>667</v>
      </c>
      <c r="B4208" s="2" t="s">
        <v>1154</v>
      </c>
      <c r="C4208" s="5" t="s">
        <v>1029</v>
      </c>
      <c r="D4208" s="2" t="s">
        <v>6085</v>
      </c>
    </row>
    <row r="4209" spans="1:4" ht="12.95" customHeight="1" x14ac:dyDescent="0.25">
      <c r="A4209" s="2" t="s">
        <v>667</v>
      </c>
      <c r="B4209" s="2" t="s">
        <v>1154</v>
      </c>
      <c r="C4209" s="5" t="s">
        <v>1031</v>
      </c>
      <c r="D4209" s="2" t="s">
        <v>6086</v>
      </c>
    </row>
    <row r="4210" spans="1:4" ht="12.95" customHeight="1" x14ac:dyDescent="0.25">
      <c r="A4210" s="2" t="s">
        <v>667</v>
      </c>
      <c r="B4210" s="2" t="s">
        <v>1154</v>
      </c>
      <c r="C4210" s="5" t="s">
        <v>1033</v>
      </c>
      <c r="D4210" s="2" t="s">
        <v>1000</v>
      </c>
    </row>
    <row r="4211" spans="1:4" ht="12.95" customHeight="1" x14ac:dyDescent="0.25">
      <c r="A4211" s="2" t="s">
        <v>667</v>
      </c>
      <c r="B4211" s="2" t="s">
        <v>1154</v>
      </c>
      <c r="C4211" s="5" t="s">
        <v>1035</v>
      </c>
      <c r="D4211" s="2" t="s">
        <v>6087</v>
      </c>
    </row>
    <row r="4212" spans="1:4" ht="12.95" customHeight="1" x14ac:dyDescent="0.25">
      <c r="A4212" s="2" t="s">
        <v>667</v>
      </c>
      <c r="B4212" s="2" t="s">
        <v>1154</v>
      </c>
      <c r="C4212" s="5" t="s">
        <v>1177</v>
      </c>
      <c r="D4212" s="2" t="s">
        <v>6071</v>
      </c>
    </row>
    <row r="4213" spans="1:4" ht="12.95" customHeight="1" x14ac:dyDescent="0.25">
      <c r="A4213" s="2" t="s">
        <v>667</v>
      </c>
      <c r="B4213" s="2" t="s">
        <v>1154</v>
      </c>
      <c r="C4213" s="5" t="s">
        <v>1005</v>
      </c>
      <c r="D4213" s="2" t="s">
        <v>6088</v>
      </c>
    </row>
    <row r="4214" spans="1:4" ht="12.95" customHeight="1" x14ac:dyDescent="0.25">
      <c r="A4214" s="2" t="s">
        <v>669</v>
      </c>
      <c r="B4214" s="2" t="s">
        <v>1154</v>
      </c>
      <c r="C4214" s="5" t="s">
        <v>996</v>
      </c>
      <c r="D4214" s="2" t="s">
        <v>997</v>
      </c>
    </row>
    <row r="4215" spans="1:4" ht="12.95" customHeight="1" x14ac:dyDescent="0.25">
      <c r="A4215" s="2" t="s">
        <v>669</v>
      </c>
      <c r="B4215" s="2" t="s">
        <v>1154</v>
      </c>
      <c r="C4215" s="5" t="s">
        <v>978</v>
      </c>
      <c r="D4215" s="2" t="s">
        <v>1047</v>
      </c>
    </row>
    <row r="4216" spans="1:4" ht="12.95" customHeight="1" x14ac:dyDescent="0.25">
      <c r="A4216" s="2" t="s">
        <v>669</v>
      </c>
      <c r="B4216" s="2" t="s">
        <v>1154</v>
      </c>
      <c r="C4216" s="5" t="s">
        <v>980</v>
      </c>
      <c r="D4216" s="2" t="s">
        <v>1041</v>
      </c>
    </row>
    <row r="4217" spans="1:4" ht="12.95" customHeight="1" x14ac:dyDescent="0.25">
      <c r="A4217" s="2" t="s">
        <v>669</v>
      </c>
      <c r="B4217" s="2" t="s">
        <v>1154</v>
      </c>
      <c r="C4217" s="5" t="s">
        <v>982</v>
      </c>
      <c r="D4217" s="2" t="s">
        <v>983</v>
      </c>
    </row>
    <row r="4218" spans="1:4" ht="12.95" customHeight="1" x14ac:dyDescent="0.25">
      <c r="A4218" s="2" t="s">
        <v>669</v>
      </c>
      <c r="B4218" s="2" t="s">
        <v>1154</v>
      </c>
      <c r="C4218" s="5" t="s">
        <v>984</v>
      </c>
      <c r="D4218" s="2" t="s">
        <v>853</v>
      </c>
    </row>
    <row r="4219" spans="1:4" ht="12.95" customHeight="1" x14ac:dyDescent="0.25">
      <c r="A4219" s="2" t="s">
        <v>669</v>
      </c>
      <c r="B4219" s="2" t="s">
        <v>1154</v>
      </c>
      <c r="C4219" s="5" t="s">
        <v>986</v>
      </c>
      <c r="D4219" s="2" t="s">
        <v>6076</v>
      </c>
    </row>
    <row r="4220" spans="1:4" ht="12.95" customHeight="1" x14ac:dyDescent="0.25">
      <c r="A4220" s="2" t="s">
        <v>669</v>
      </c>
      <c r="B4220" s="2" t="s">
        <v>1154</v>
      </c>
      <c r="C4220" s="5" t="s">
        <v>988</v>
      </c>
      <c r="D4220" s="2" t="s">
        <v>6056</v>
      </c>
    </row>
    <row r="4221" spans="1:4" ht="12.95" customHeight="1" x14ac:dyDescent="0.25">
      <c r="A4221" s="2" t="s">
        <v>669</v>
      </c>
      <c r="B4221" s="2" t="s">
        <v>1154</v>
      </c>
      <c r="C4221" s="5" t="s">
        <v>990</v>
      </c>
      <c r="D4221" s="2" t="s">
        <v>6057</v>
      </c>
    </row>
    <row r="4222" spans="1:4" ht="12.95" customHeight="1" x14ac:dyDescent="0.25">
      <c r="A4222" s="2" t="s">
        <v>669</v>
      </c>
      <c r="B4222" s="2" t="s">
        <v>1154</v>
      </c>
      <c r="C4222" s="5" t="s">
        <v>992</v>
      </c>
      <c r="D4222" s="2" t="s">
        <v>6077</v>
      </c>
    </row>
    <row r="4223" spans="1:4" ht="12.95" customHeight="1" x14ac:dyDescent="0.25">
      <c r="A4223" s="2" t="s">
        <v>669</v>
      </c>
      <c r="B4223" s="2" t="s">
        <v>1154</v>
      </c>
      <c r="C4223" s="5" t="s">
        <v>994</v>
      </c>
      <c r="D4223" s="2" t="s">
        <v>6078</v>
      </c>
    </row>
    <row r="4224" spans="1:4" ht="12.95" customHeight="1" x14ac:dyDescent="0.25">
      <c r="A4224" s="2" t="s">
        <v>669</v>
      </c>
      <c r="B4224" s="2" t="s">
        <v>1154</v>
      </c>
      <c r="C4224" s="5" t="s">
        <v>1003</v>
      </c>
      <c r="D4224" s="2" t="s">
        <v>6079</v>
      </c>
    </row>
    <row r="4225" spans="1:4" ht="12.95" customHeight="1" x14ac:dyDescent="0.25">
      <c r="A4225" s="2" t="s">
        <v>669</v>
      </c>
      <c r="B4225" s="2" t="s">
        <v>1154</v>
      </c>
      <c r="C4225" s="5" t="s">
        <v>1013</v>
      </c>
      <c r="D4225" s="2" t="s">
        <v>6080</v>
      </c>
    </row>
    <row r="4226" spans="1:4" ht="12.95" customHeight="1" x14ac:dyDescent="0.25">
      <c r="A4226" s="2" t="s">
        <v>669</v>
      </c>
      <c r="B4226" s="2" t="s">
        <v>1154</v>
      </c>
      <c r="C4226" s="5" t="s">
        <v>1015</v>
      </c>
      <c r="D4226" s="2" t="s">
        <v>6081</v>
      </c>
    </row>
    <row r="4227" spans="1:4" ht="12.95" customHeight="1" x14ac:dyDescent="0.25">
      <c r="A4227" s="2" t="s">
        <v>669</v>
      </c>
      <c r="B4227" s="2" t="s">
        <v>1154</v>
      </c>
      <c r="C4227" s="5" t="s">
        <v>1017</v>
      </c>
      <c r="D4227" s="2" t="s">
        <v>6082</v>
      </c>
    </row>
    <row r="4228" spans="1:4" ht="12.95" customHeight="1" x14ac:dyDescent="0.25">
      <c r="A4228" s="2" t="s">
        <v>669</v>
      </c>
      <c r="B4228" s="2" t="s">
        <v>1154</v>
      </c>
      <c r="C4228" s="5" t="s">
        <v>1019</v>
      </c>
      <c r="D4228" s="2" t="s">
        <v>6083</v>
      </c>
    </row>
    <row r="4229" spans="1:4" ht="12.95" customHeight="1" x14ac:dyDescent="0.25">
      <c r="A4229" s="2" t="s">
        <v>669</v>
      </c>
      <c r="B4229" s="2" t="s">
        <v>1154</v>
      </c>
      <c r="C4229" s="5" t="s">
        <v>1021</v>
      </c>
      <c r="D4229" s="2" t="s">
        <v>6064</v>
      </c>
    </row>
    <row r="4230" spans="1:4" ht="12.95" customHeight="1" x14ac:dyDescent="0.25">
      <c r="A4230" s="2" t="s">
        <v>669</v>
      </c>
      <c r="B4230" s="2" t="s">
        <v>1154</v>
      </c>
      <c r="C4230" s="5" t="s">
        <v>1023</v>
      </c>
      <c r="D4230" s="2" t="s">
        <v>6084</v>
      </c>
    </row>
    <row r="4231" spans="1:4" ht="12.95" customHeight="1" x14ac:dyDescent="0.25">
      <c r="A4231" s="2" t="s">
        <v>669</v>
      </c>
      <c r="B4231" s="2" t="s">
        <v>1154</v>
      </c>
      <c r="C4231" s="5" t="s">
        <v>1025</v>
      </c>
      <c r="D4231" s="2" t="s">
        <v>6066</v>
      </c>
    </row>
    <row r="4232" spans="1:4" ht="12.95" customHeight="1" x14ac:dyDescent="0.25">
      <c r="A4232" s="2" t="s">
        <v>669</v>
      </c>
      <c r="B4232" s="2" t="s">
        <v>1154</v>
      </c>
      <c r="C4232" s="5" t="s">
        <v>1027</v>
      </c>
      <c r="D4232" s="2" t="s">
        <v>6067</v>
      </c>
    </row>
    <row r="4233" spans="1:4" ht="12.95" customHeight="1" x14ac:dyDescent="0.25">
      <c r="A4233" s="2" t="s">
        <v>669</v>
      </c>
      <c r="B4233" s="2" t="s">
        <v>1154</v>
      </c>
      <c r="C4233" s="5" t="s">
        <v>1029</v>
      </c>
      <c r="D4233" s="2" t="s">
        <v>6085</v>
      </c>
    </row>
    <row r="4234" spans="1:4" ht="12.95" customHeight="1" x14ac:dyDescent="0.25">
      <c r="A4234" s="2" t="s">
        <v>669</v>
      </c>
      <c r="B4234" s="2" t="s">
        <v>1154</v>
      </c>
      <c r="C4234" s="5" t="s">
        <v>1031</v>
      </c>
      <c r="D4234" s="2" t="s">
        <v>6086</v>
      </c>
    </row>
    <row r="4235" spans="1:4" ht="12.95" customHeight="1" x14ac:dyDescent="0.25">
      <c r="A4235" s="2" t="s">
        <v>669</v>
      </c>
      <c r="B4235" s="2" t="s">
        <v>1154</v>
      </c>
      <c r="C4235" s="5" t="s">
        <v>1033</v>
      </c>
      <c r="D4235" s="2" t="s">
        <v>1000</v>
      </c>
    </row>
    <row r="4236" spans="1:4" ht="12.95" customHeight="1" x14ac:dyDescent="0.25">
      <c r="A4236" s="2" t="s">
        <v>669</v>
      </c>
      <c r="B4236" s="2" t="s">
        <v>1154</v>
      </c>
      <c r="C4236" s="5" t="s">
        <v>1035</v>
      </c>
      <c r="D4236" s="2" t="s">
        <v>6087</v>
      </c>
    </row>
    <row r="4237" spans="1:4" ht="12.95" customHeight="1" x14ac:dyDescent="0.25">
      <c r="A4237" s="2" t="s">
        <v>669</v>
      </c>
      <c r="B4237" s="2" t="s">
        <v>1154</v>
      </c>
      <c r="C4237" s="5" t="s">
        <v>1177</v>
      </c>
      <c r="D4237" s="2" t="s">
        <v>6071</v>
      </c>
    </row>
    <row r="4238" spans="1:4" ht="12.95" customHeight="1" x14ac:dyDescent="0.25">
      <c r="A4238" s="2" t="s">
        <v>669</v>
      </c>
      <c r="B4238" s="2" t="s">
        <v>1154</v>
      </c>
      <c r="C4238" s="5" t="s">
        <v>1005</v>
      </c>
      <c r="D4238" s="2" t="s">
        <v>6088</v>
      </c>
    </row>
    <row r="4239" spans="1:4" ht="12.95" customHeight="1" x14ac:dyDescent="0.25">
      <c r="A4239" s="2" t="s">
        <v>671</v>
      </c>
      <c r="B4239" s="2" t="s">
        <v>1154</v>
      </c>
      <c r="C4239" s="5" t="s">
        <v>996</v>
      </c>
      <c r="D4239" s="2" t="s">
        <v>997</v>
      </c>
    </row>
    <row r="4240" spans="1:4" ht="12.95" customHeight="1" x14ac:dyDescent="0.25">
      <c r="A4240" s="2" t="s">
        <v>671</v>
      </c>
      <c r="B4240" s="2" t="s">
        <v>1154</v>
      </c>
      <c r="C4240" s="5" t="s">
        <v>978</v>
      </c>
      <c r="D4240" s="2" t="s">
        <v>1047</v>
      </c>
    </row>
    <row r="4241" spans="1:4" ht="12.95" customHeight="1" x14ac:dyDescent="0.25">
      <c r="A4241" s="2" t="s">
        <v>671</v>
      </c>
      <c r="B4241" s="2" t="s">
        <v>1154</v>
      </c>
      <c r="C4241" s="5" t="s">
        <v>980</v>
      </c>
      <c r="D4241" s="2" t="s">
        <v>1041</v>
      </c>
    </row>
    <row r="4242" spans="1:4" ht="12.95" customHeight="1" x14ac:dyDescent="0.25">
      <c r="A4242" s="2" t="s">
        <v>671</v>
      </c>
      <c r="B4242" s="2" t="s">
        <v>1154</v>
      </c>
      <c r="C4242" s="5" t="s">
        <v>982</v>
      </c>
      <c r="D4242" s="2" t="s">
        <v>983</v>
      </c>
    </row>
    <row r="4243" spans="1:4" ht="12.95" customHeight="1" x14ac:dyDescent="0.25">
      <c r="A4243" s="2" t="s">
        <v>671</v>
      </c>
      <c r="B4243" s="2" t="s">
        <v>1154</v>
      </c>
      <c r="C4243" s="5" t="s">
        <v>984</v>
      </c>
      <c r="D4243" s="2" t="s">
        <v>853</v>
      </c>
    </row>
    <row r="4244" spans="1:4" ht="12.95" customHeight="1" x14ac:dyDescent="0.25">
      <c r="A4244" s="2" t="s">
        <v>671</v>
      </c>
      <c r="B4244" s="2" t="s">
        <v>1154</v>
      </c>
      <c r="C4244" s="5" t="s">
        <v>986</v>
      </c>
      <c r="D4244" s="2" t="s">
        <v>6076</v>
      </c>
    </row>
    <row r="4245" spans="1:4" ht="12.95" customHeight="1" x14ac:dyDescent="0.25">
      <c r="A4245" s="2" t="s">
        <v>671</v>
      </c>
      <c r="B4245" s="2" t="s">
        <v>1154</v>
      </c>
      <c r="C4245" s="5" t="s">
        <v>988</v>
      </c>
      <c r="D4245" s="2" t="s">
        <v>6056</v>
      </c>
    </row>
    <row r="4246" spans="1:4" ht="12.95" customHeight="1" x14ac:dyDescent="0.25">
      <c r="A4246" s="2" t="s">
        <v>671</v>
      </c>
      <c r="B4246" s="2" t="s">
        <v>1154</v>
      </c>
      <c r="C4246" s="5" t="s">
        <v>990</v>
      </c>
      <c r="D4246" s="2" t="s">
        <v>6057</v>
      </c>
    </row>
    <row r="4247" spans="1:4" ht="12.95" customHeight="1" x14ac:dyDescent="0.25">
      <c r="A4247" s="2" t="s">
        <v>671</v>
      </c>
      <c r="B4247" s="2" t="s">
        <v>1154</v>
      </c>
      <c r="C4247" s="5" t="s">
        <v>992</v>
      </c>
      <c r="D4247" s="2" t="s">
        <v>6077</v>
      </c>
    </row>
    <row r="4248" spans="1:4" ht="12.95" customHeight="1" x14ac:dyDescent="0.25">
      <c r="A4248" s="2" t="s">
        <v>671</v>
      </c>
      <c r="B4248" s="2" t="s">
        <v>1154</v>
      </c>
      <c r="C4248" s="5" t="s">
        <v>994</v>
      </c>
      <c r="D4248" s="2" t="s">
        <v>6078</v>
      </c>
    </row>
    <row r="4249" spans="1:4" ht="12.95" customHeight="1" x14ac:dyDescent="0.25">
      <c r="A4249" s="2" t="s">
        <v>671</v>
      </c>
      <c r="B4249" s="2" t="s">
        <v>1154</v>
      </c>
      <c r="C4249" s="5" t="s">
        <v>1003</v>
      </c>
      <c r="D4249" s="2" t="s">
        <v>6079</v>
      </c>
    </row>
    <row r="4250" spans="1:4" ht="12.95" customHeight="1" x14ac:dyDescent="0.25">
      <c r="A4250" s="2" t="s">
        <v>671</v>
      </c>
      <c r="B4250" s="2" t="s">
        <v>1154</v>
      </c>
      <c r="C4250" s="5" t="s">
        <v>1013</v>
      </c>
      <c r="D4250" s="2" t="s">
        <v>6080</v>
      </c>
    </row>
    <row r="4251" spans="1:4" ht="12.95" customHeight="1" x14ac:dyDescent="0.25">
      <c r="A4251" s="2" t="s">
        <v>671</v>
      </c>
      <c r="B4251" s="2" t="s">
        <v>1154</v>
      </c>
      <c r="C4251" s="5" t="s">
        <v>1015</v>
      </c>
      <c r="D4251" s="2" t="s">
        <v>6081</v>
      </c>
    </row>
    <row r="4252" spans="1:4" ht="12.95" customHeight="1" x14ac:dyDescent="0.25">
      <c r="A4252" s="2" t="s">
        <v>671</v>
      </c>
      <c r="B4252" s="2" t="s">
        <v>1154</v>
      </c>
      <c r="C4252" s="5" t="s">
        <v>1017</v>
      </c>
      <c r="D4252" s="2" t="s">
        <v>6082</v>
      </c>
    </row>
    <row r="4253" spans="1:4" ht="12.95" customHeight="1" x14ac:dyDescent="0.25">
      <c r="A4253" s="2" t="s">
        <v>671</v>
      </c>
      <c r="B4253" s="2" t="s">
        <v>1154</v>
      </c>
      <c r="C4253" s="5" t="s">
        <v>1019</v>
      </c>
      <c r="D4253" s="2" t="s">
        <v>6083</v>
      </c>
    </row>
    <row r="4254" spans="1:4" ht="12.95" customHeight="1" x14ac:dyDescent="0.25">
      <c r="A4254" s="2" t="s">
        <v>671</v>
      </c>
      <c r="B4254" s="2" t="s">
        <v>1154</v>
      </c>
      <c r="C4254" s="5" t="s">
        <v>1021</v>
      </c>
      <c r="D4254" s="2" t="s">
        <v>6064</v>
      </c>
    </row>
    <row r="4255" spans="1:4" ht="12.95" customHeight="1" x14ac:dyDescent="0.25">
      <c r="A4255" s="2" t="s">
        <v>671</v>
      </c>
      <c r="B4255" s="2" t="s">
        <v>1154</v>
      </c>
      <c r="C4255" s="5" t="s">
        <v>1023</v>
      </c>
      <c r="D4255" s="2" t="s">
        <v>6084</v>
      </c>
    </row>
    <row r="4256" spans="1:4" ht="12.95" customHeight="1" x14ac:dyDescent="0.25">
      <c r="A4256" s="2" t="s">
        <v>671</v>
      </c>
      <c r="B4256" s="2" t="s">
        <v>1154</v>
      </c>
      <c r="C4256" s="5" t="s">
        <v>1025</v>
      </c>
      <c r="D4256" s="2" t="s">
        <v>6066</v>
      </c>
    </row>
    <row r="4257" spans="1:4" ht="12.95" customHeight="1" x14ac:dyDescent="0.25">
      <c r="A4257" s="2" t="s">
        <v>671</v>
      </c>
      <c r="B4257" s="2" t="s">
        <v>1154</v>
      </c>
      <c r="C4257" s="5" t="s">
        <v>1027</v>
      </c>
      <c r="D4257" s="2" t="s">
        <v>6067</v>
      </c>
    </row>
    <row r="4258" spans="1:4" ht="12.95" customHeight="1" x14ac:dyDescent="0.25">
      <c r="A4258" s="2" t="s">
        <v>671</v>
      </c>
      <c r="B4258" s="2" t="s">
        <v>1154</v>
      </c>
      <c r="C4258" s="5" t="s">
        <v>1029</v>
      </c>
      <c r="D4258" s="2" t="s">
        <v>6085</v>
      </c>
    </row>
    <row r="4259" spans="1:4" ht="12.95" customHeight="1" x14ac:dyDescent="0.25">
      <c r="A4259" s="2" t="s">
        <v>671</v>
      </c>
      <c r="B4259" s="2" t="s">
        <v>1154</v>
      </c>
      <c r="C4259" s="5" t="s">
        <v>1031</v>
      </c>
      <c r="D4259" s="2" t="s">
        <v>6086</v>
      </c>
    </row>
    <row r="4260" spans="1:4" ht="12.95" customHeight="1" x14ac:dyDescent="0.25">
      <c r="A4260" s="2" t="s">
        <v>671</v>
      </c>
      <c r="B4260" s="2" t="s">
        <v>1154</v>
      </c>
      <c r="C4260" s="5" t="s">
        <v>1033</v>
      </c>
      <c r="D4260" s="2" t="s">
        <v>1000</v>
      </c>
    </row>
    <row r="4261" spans="1:4" ht="12.95" customHeight="1" x14ac:dyDescent="0.25">
      <c r="A4261" s="2" t="s">
        <v>671</v>
      </c>
      <c r="B4261" s="2" t="s">
        <v>1154</v>
      </c>
      <c r="C4261" s="5" t="s">
        <v>1035</v>
      </c>
      <c r="D4261" s="2" t="s">
        <v>6087</v>
      </c>
    </row>
    <row r="4262" spans="1:4" ht="12.95" customHeight="1" x14ac:dyDescent="0.25">
      <c r="A4262" s="2" t="s">
        <v>671</v>
      </c>
      <c r="B4262" s="2" t="s">
        <v>1154</v>
      </c>
      <c r="C4262" s="5" t="s">
        <v>1177</v>
      </c>
      <c r="D4262" s="2" t="s">
        <v>6071</v>
      </c>
    </row>
    <row r="4263" spans="1:4" ht="12.95" customHeight="1" x14ac:dyDescent="0.25">
      <c r="A4263" s="2" t="s">
        <v>671</v>
      </c>
      <c r="B4263" s="2" t="s">
        <v>1154</v>
      </c>
      <c r="C4263" s="5" t="s">
        <v>1005</v>
      </c>
      <c r="D4263" s="2" t="s">
        <v>6088</v>
      </c>
    </row>
    <row r="4264" spans="1:4" ht="12.95" customHeight="1" x14ac:dyDescent="0.25">
      <c r="A4264" s="2" t="s">
        <v>673</v>
      </c>
      <c r="B4264" s="2" t="s">
        <v>1154</v>
      </c>
      <c r="C4264" s="5" t="s">
        <v>996</v>
      </c>
      <c r="D4264" s="2" t="s">
        <v>997</v>
      </c>
    </row>
    <row r="4265" spans="1:4" ht="12.95" customHeight="1" x14ac:dyDescent="0.25">
      <c r="A4265" s="2" t="s">
        <v>673</v>
      </c>
      <c r="B4265" s="2" t="s">
        <v>1154</v>
      </c>
      <c r="C4265" s="5" t="s">
        <v>978</v>
      </c>
      <c r="D4265" s="2" t="s">
        <v>1047</v>
      </c>
    </row>
    <row r="4266" spans="1:4" ht="12.95" customHeight="1" x14ac:dyDescent="0.25">
      <c r="A4266" s="2" t="s">
        <v>673</v>
      </c>
      <c r="B4266" s="2" t="s">
        <v>1154</v>
      </c>
      <c r="C4266" s="5" t="s">
        <v>980</v>
      </c>
      <c r="D4266" s="2" t="s">
        <v>1041</v>
      </c>
    </row>
    <row r="4267" spans="1:4" ht="12.95" customHeight="1" x14ac:dyDescent="0.25">
      <c r="A4267" s="2" t="s">
        <v>673</v>
      </c>
      <c r="B4267" s="2" t="s">
        <v>1154</v>
      </c>
      <c r="C4267" s="5" t="s">
        <v>982</v>
      </c>
      <c r="D4267" s="2" t="s">
        <v>983</v>
      </c>
    </row>
    <row r="4268" spans="1:4" ht="12.95" customHeight="1" x14ac:dyDescent="0.25">
      <c r="A4268" s="2" t="s">
        <v>673</v>
      </c>
      <c r="B4268" s="2" t="s">
        <v>1154</v>
      </c>
      <c r="C4268" s="5" t="s">
        <v>984</v>
      </c>
      <c r="D4268" s="2" t="s">
        <v>853</v>
      </c>
    </row>
    <row r="4269" spans="1:4" ht="12.95" customHeight="1" x14ac:dyDescent="0.25">
      <c r="A4269" s="2" t="s">
        <v>673</v>
      </c>
      <c r="B4269" s="2" t="s">
        <v>1154</v>
      </c>
      <c r="C4269" s="5" t="s">
        <v>986</v>
      </c>
      <c r="D4269" s="2" t="s">
        <v>6076</v>
      </c>
    </row>
    <row r="4270" spans="1:4" ht="12.95" customHeight="1" x14ac:dyDescent="0.25">
      <c r="A4270" s="2" t="s">
        <v>673</v>
      </c>
      <c r="B4270" s="2" t="s">
        <v>1154</v>
      </c>
      <c r="C4270" s="5" t="s">
        <v>988</v>
      </c>
      <c r="D4270" s="2" t="s">
        <v>6056</v>
      </c>
    </row>
    <row r="4271" spans="1:4" ht="12.95" customHeight="1" x14ac:dyDescent="0.25">
      <c r="A4271" s="2" t="s">
        <v>673</v>
      </c>
      <c r="B4271" s="2" t="s">
        <v>1154</v>
      </c>
      <c r="C4271" s="5" t="s">
        <v>990</v>
      </c>
      <c r="D4271" s="2" t="s">
        <v>6057</v>
      </c>
    </row>
    <row r="4272" spans="1:4" ht="12.95" customHeight="1" x14ac:dyDescent="0.25">
      <c r="A4272" s="2" t="s">
        <v>673</v>
      </c>
      <c r="B4272" s="2" t="s">
        <v>1154</v>
      </c>
      <c r="C4272" s="5" t="s">
        <v>992</v>
      </c>
      <c r="D4272" s="2" t="s">
        <v>6077</v>
      </c>
    </row>
    <row r="4273" spans="1:4" ht="12.95" customHeight="1" x14ac:dyDescent="0.25">
      <c r="A4273" s="2" t="s">
        <v>673</v>
      </c>
      <c r="B4273" s="2" t="s">
        <v>1154</v>
      </c>
      <c r="C4273" s="5" t="s">
        <v>994</v>
      </c>
      <c r="D4273" s="2" t="s">
        <v>6078</v>
      </c>
    </row>
    <row r="4274" spans="1:4" ht="12.95" customHeight="1" x14ac:dyDescent="0.25">
      <c r="A4274" s="2" t="s">
        <v>673</v>
      </c>
      <c r="B4274" s="2" t="s">
        <v>1154</v>
      </c>
      <c r="C4274" s="5" t="s">
        <v>1003</v>
      </c>
      <c r="D4274" s="2" t="s">
        <v>6079</v>
      </c>
    </row>
    <row r="4275" spans="1:4" ht="12.95" customHeight="1" x14ac:dyDescent="0.25">
      <c r="A4275" s="2" t="s">
        <v>673</v>
      </c>
      <c r="B4275" s="2" t="s">
        <v>1154</v>
      </c>
      <c r="C4275" s="5" t="s">
        <v>1013</v>
      </c>
      <c r="D4275" s="2" t="s">
        <v>6080</v>
      </c>
    </row>
    <row r="4276" spans="1:4" ht="12.95" customHeight="1" x14ac:dyDescent="0.25">
      <c r="A4276" s="2" t="s">
        <v>673</v>
      </c>
      <c r="B4276" s="2" t="s">
        <v>1154</v>
      </c>
      <c r="C4276" s="5" t="s">
        <v>1015</v>
      </c>
      <c r="D4276" s="2" t="s">
        <v>6081</v>
      </c>
    </row>
    <row r="4277" spans="1:4" ht="12.95" customHeight="1" x14ac:dyDescent="0.25">
      <c r="A4277" s="2" t="s">
        <v>673</v>
      </c>
      <c r="B4277" s="2" t="s">
        <v>1154</v>
      </c>
      <c r="C4277" s="5" t="s">
        <v>1017</v>
      </c>
      <c r="D4277" s="2" t="s">
        <v>6082</v>
      </c>
    </row>
    <row r="4278" spans="1:4" ht="12.95" customHeight="1" x14ac:dyDescent="0.25">
      <c r="A4278" s="2" t="s">
        <v>673</v>
      </c>
      <c r="B4278" s="2" t="s">
        <v>1154</v>
      </c>
      <c r="C4278" s="5" t="s">
        <v>1019</v>
      </c>
      <c r="D4278" s="2" t="s">
        <v>6083</v>
      </c>
    </row>
    <row r="4279" spans="1:4" ht="12.95" customHeight="1" x14ac:dyDescent="0.25">
      <c r="A4279" s="2" t="s">
        <v>673</v>
      </c>
      <c r="B4279" s="2" t="s">
        <v>1154</v>
      </c>
      <c r="C4279" s="5" t="s">
        <v>1021</v>
      </c>
      <c r="D4279" s="2" t="s">
        <v>6064</v>
      </c>
    </row>
    <row r="4280" spans="1:4" ht="12.95" customHeight="1" x14ac:dyDescent="0.25">
      <c r="A4280" s="2" t="s">
        <v>673</v>
      </c>
      <c r="B4280" s="2" t="s">
        <v>1154</v>
      </c>
      <c r="C4280" s="5" t="s">
        <v>1023</v>
      </c>
      <c r="D4280" s="2" t="s">
        <v>6084</v>
      </c>
    </row>
    <row r="4281" spans="1:4" ht="12.95" customHeight="1" x14ac:dyDescent="0.25">
      <c r="A4281" s="2" t="s">
        <v>673</v>
      </c>
      <c r="B4281" s="2" t="s">
        <v>1154</v>
      </c>
      <c r="C4281" s="5" t="s">
        <v>1025</v>
      </c>
      <c r="D4281" s="2" t="s">
        <v>6066</v>
      </c>
    </row>
    <row r="4282" spans="1:4" ht="12.95" customHeight="1" x14ac:dyDescent="0.25">
      <c r="A4282" s="2" t="s">
        <v>673</v>
      </c>
      <c r="B4282" s="2" t="s">
        <v>1154</v>
      </c>
      <c r="C4282" s="5" t="s">
        <v>1027</v>
      </c>
      <c r="D4282" s="2" t="s">
        <v>6067</v>
      </c>
    </row>
    <row r="4283" spans="1:4" ht="12.95" customHeight="1" x14ac:dyDescent="0.25">
      <c r="A4283" s="2" t="s">
        <v>673</v>
      </c>
      <c r="B4283" s="2" t="s">
        <v>1154</v>
      </c>
      <c r="C4283" s="5" t="s">
        <v>1029</v>
      </c>
      <c r="D4283" s="2" t="s">
        <v>6085</v>
      </c>
    </row>
    <row r="4284" spans="1:4" ht="12.95" customHeight="1" x14ac:dyDescent="0.25">
      <c r="A4284" s="2" t="s">
        <v>673</v>
      </c>
      <c r="B4284" s="2" t="s">
        <v>1154</v>
      </c>
      <c r="C4284" s="5" t="s">
        <v>1031</v>
      </c>
      <c r="D4284" s="2" t="s">
        <v>6086</v>
      </c>
    </row>
    <row r="4285" spans="1:4" ht="12.95" customHeight="1" x14ac:dyDescent="0.25">
      <c r="A4285" s="2" t="s">
        <v>673</v>
      </c>
      <c r="B4285" s="2" t="s">
        <v>1154</v>
      </c>
      <c r="C4285" s="5" t="s">
        <v>1033</v>
      </c>
      <c r="D4285" s="2" t="s">
        <v>1000</v>
      </c>
    </row>
    <row r="4286" spans="1:4" ht="12.95" customHeight="1" x14ac:dyDescent="0.25">
      <c r="A4286" s="2" t="s">
        <v>673</v>
      </c>
      <c r="B4286" s="2" t="s">
        <v>1154</v>
      </c>
      <c r="C4286" s="5" t="s">
        <v>1035</v>
      </c>
      <c r="D4286" s="2" t="s">
        <v>6087</v>
      </c>
    </row>
    <row r="4287" spans="1:4" ht="12.95" customHeight="1" x14ac:dyDescent="0.25">
      <c r="A4287" s="2" t="s">
        <v>673</v>
      </c>
      <c r="B4287" s="2" t="s">
        <v>1154</v>
      </c>
      <c r="C4287" s="5" t="s">
        <v>1177</v>
      </c>
      <c r="D4287" s="2" t="s">
        <v>6071</v>
      </c>
    </row>
    <row r="4288" spans="1:4" ht="12.95" customHeight="1" x14ac:dyDescent="0.25">
      <c r="A4288" s="2" t="s">
        <v>673</v>
      </c>
      <c r="B4288" s="2" t="s">
        <v>1154</v>
      </c>
      <c r="C4288" s="5" t="s">
        <v>1005</v>
      </c>
      <c r="D4288" s="2" t="s">
        <v>6088</v>
      </c>
    </row>
    <row r="4289" spans="1:4" ht="12.95" customHeight="1" x14ac:dyDescent="0.25">
      <c r="A4289" s="2" t="s">
        <v>675</v>
      </c>
      <c r="B4289" s="2" t="s">
        <v>1154</v>
      </c>
      <c r="C4289" s="5" t="s">
        <v>996</v>
      </c>
      <c r="D4289" s="2" t="s">
        <v>997</v>
      </c>
    </row>
    <row r="4290" spans="1:4" ht="12.95" customHeight="1" x14ac:dyDescent="0.25">
      <c r="A4290" s="2" t="s">
        <v>675</v>
      </c>
      <c r="B4290" s="2" t="s">
        <v>1154</v>
      </c>
      <c r="C4290" s="5" t="s">
        <v>978</v>
      </c>
      <c r="D4290" s="2" t="s">
        <v>1047</v>
      </c>
    </row>
    <row r="4291" spans="1:4" ht="12.95" customHeight="1" x14ac:dyDescent="0.25">
      <c r="A4291" s="2" t="s">
        <v>675</v>
      </c>
      <c r="B4291" s="2" t="s">
        <v>1154</v>
      </c>
      <c r="C4291" s="5" t="s">
        <v>980</v>
      </c>
      <c r="D4291" s="2" t="s">
        <v>1041</v>
      </c>
    </row>
    <row r="4292" spans="1:4" ht="12.95" customHeight="1" x14ac:dyDescent="0.25">
      <c r="A4292" s="2" t="s">
        <v>675</v>
      </c>
      <c r="B4292" s="2" t="s">
        <v>1154</v>
      </c>
      <c r="C4292" s="5" t="s">
        <v>982</v>
      </c>
      <c r="D4292" s="2" t="s">
        <v>983</v>
      </c>
    </row>
    <row r="4293" spans="1:4" ht="12.95" customHeight="1" x14ac:dyDescent="0.25">
      <c r="A4293" s="2" t="s">
        <v>675</v>
      </c>
      <c r="B4293" s="2" t="s">
        <v>1154</v>
      </c>
      <c r="C4293" s="5" t="s">
        <v>984</v>
      </c>
      <c r="D4293" s="2" t="s">
        <v>853</v>
      </c>
    </row>
    <row r="4294" spans="1:4" ht="12.95" customHeight="1" x14ac:dyDescent="0.25">
      <c r="A4294" s="2" t="s">
        <v>675</v>
      </c>
      <c r="B4294" s="2" t="s">
        <v>1154</v>
      </c>
      <c r="C4294" s="5" t="s">
        <v>986</v>
      </c>
      <c r="D4294" s="2" t="s">
        <v>6076</v>
      </c>
    </row>
    <row r="4295" spans="1:4" ht="12.95" customHeight="1" x14ac:dyDescent="0.25">
      <c r="A4295" s="2" t="s">
        <v>675</v>
      </c>
      <c r="B4295" s="2" t="s">
        <v>1154</v>
      </c>
      <c r="C4295" s="5" t="s">
        <v>988</v>
      </c>
      <c r="D4295" s="2" t="s">
        <v>6056</v>
      </c>
    </row>
    <row r="4296" spans="1:4" ht="12.95" customHeight="1" x14ac:dyDescent="0.25">
      <c r="A4296" s="2" t="s">
        <v>675</v>
      </c>
      <c r="B4296" s="2" t="s">
        <v>1154</v>
      </c>
      <c r="C4296" s="5" t="s">
        <v>990</v>
      </c>
      <c r="D4296" s="2" t="s">
        <v>6057</v>
      </c>
    </row>
    <row r="4297" spans="1:4" ht="12.95" customHeight="1" x14ac:dyDescent="0.25">
      <c r="A4297" s="2" t="s">
        <v>675</v>
      </c>
      <c r="B4297" s="2" t="s">
        <v>1154</v>
      </c>
      <c r="C4297" s="5" t="s">
        <v>992</v>
      </c>
      <c r="D4297" s="2" t="s">
        <v>6077</v>
      </c>
    </row>
    <row r="4298" spans="1:4" ht="12.95" customHeight="1" x14ac:dyDescent="0.25">
      <c r="A4298" s="2" t="s">
        <v>675</v>
      </c>
      <c r="B4298" s="2" t="s">
        <v>1154</v>
      </c>
      <c r="C4298" s="5" t="s">
        <v>994</v>
      </c>
      <c r="D4298" s="2" t="s">
        <v>6078</v>
      </c>
    </row>
    <row r="4299" spans="1:4" ht="12.95" customHeight="1" x14ac:dyDescent="0.25">
      <c r="A4299" s="2" t="s">
        <v>675</v>
      </c>
      <c r="B4299" s="2" t="s">
        <v>1154</v>
      </c>
      <c r="C4299" s="5" t="s">
        <v>1003</v>
      </c>
      <c r="D4299" s="2" t="s">
        <v>6079</v>
      </c>
    </row>
    <row r="4300" spans="1:4" ht="12.95" customHeight="1" x14ac:dyDescent="0.25">
      <c r="A4300" s="2" t="s">
        <v>675</v>
      </c>
      <c r="B4300" s="2" t="s">
        <v>1154</v>
      </c>
      <c r="C4300" s="5" t="s">
        <v>1013</v>
      </c>
      <c r="D4300" s="2" t="s">
        <v>6080</v>
      </c>
    </row>
    <row r="4301" spans="1:4" ht="12.95" customHeight="1" x14ac:dyDescent="0.25">
      <c r="A4301" s="2" t="s">
        <v>675</v>
      </c>
      <c r="B4301" s="2" t="s">
        <v>1154</v>
      </c>
      <c r="C4301" s="5" t="s">
        <v>1015</v>
      </c>
      <c r="D4301" s="2" t="s">
        <v>6081</v>
      </c>
    </row>
    <row r="4302" spans="1:4" ht="12.95" customHeight="1" x14ac:dyDescent="0.25">
      <c r="A4302" s="2" t="s">
        <v>675</v>
      </c>
      <c r="B4302" s="2" t="s">
        <v>1154</v>
      </c>
      <c r="C4302" s="5" t="s">
        <v>1017</v>
      </c>
      <c r="D4302" s="2" t="s">
        <v>6082</v>
      </c>
    </row>
    <row r="4303" spans="1:4" ht="12.95" customHeight="1" x14ac:dyDescent="0.25">
      <c r="A4303" s="2" t="s">
        <v>675</v>
      </c>
      <c r="B4303" s="2" t="s">
        <v>1154</v>
      </c>
      <c r="C4303" s="5" t="s">
        <v>1019</v>
      </c>
      <c r="D4303" s="2" t="s">
        <v>6083</v>
      </c>
    </row>
    <row r="4304" spans="1:4" ht="12.95" customHeight="1" x14ac:dyDescent="0.25">
      <c r="A4304" s="2" t="s">
        <v>675</v>
      </c>
      <c r="B4304" s="2" t="s">
        <v>1154</v>
      </c>
      <c r="C4304" s="5" t="s">
        <v>1021</v>
      </c>
      <c r="D4304" s="2" t="s">
        <v>6064</v>
      </c>
    </row>
    <row r="4305" spans="1:4" ht="12.95" customHeight="1" x14ac:dyDescent="0.25">
      <c r="A4305" s="2" t="s">
        <v>675</v>
      </c>
      <c r="B4305" s="2" t="s">
        <v>1154</v>
      </c>
      <c r="C4305" s="5" t="s">
        <v>1023</v>
      </c>
      <c r="D4305" s="2" t="s">
        <v>6084</v>
      </c>
    </row>
    <row r="4306" spans="1:4" ht="12.95" customHeight="1" x14ac:dyDescent="0.25">
      <c r="A4306" s="2" t="s">
        <v>675</v>
      </c>
      <c r="B4306" s="2" t="s">
        <v>1154</v>
      </c>
      <c r="C4306" s="5" t="s">
        <v>1025</v>
      </c>
      <c r="D4306" s="2" t="s">
        <v>6066</v>
      </c>
    </row>
    <row r="4307" spans="1:4" ht="12.95" customHeight="1" x14ac:dyDescent="0.25">
      <c r="A4307" s="2" t="s">
        <v>675</v>
      </c>
      <c r="B4307" s="2" t="s">
        <v>1154</v>
      </c>
      <c r="C4307" s="5" t="s">
        <v>1027</v>
      </c>
      <c r="D4307" s="2" t="s">
        <v>6067</v>
      </c>
    </row>
    <row r="4308" spans="1:4" ht="12.95" customHeight="1" x14ac:dyDescent="0.25">
      <c r="A4308" s="2" t="s">
        <v>675</v>
      </c>
      <c r="B4308" s="2" t="s">
        <v>1154</v>
      </c>
      <c r="C4308" s="5" t="s">
        <v>1029</v>
      </c>
      <c r="D4308" s="2" t="s">
        <v>6085</v>
      </c>
    </row>
    <row r="4309" spans="1:4" ht="12.95" customHeight="1" x14ac:dyDescent="0.25">
      <c r="A4309" s="2" t="s">
        <v>675</v>
      </c>
      <c r="B4309" s="2" t="s">
        <v>1154</v>
      </c>
      <c r="C4309" s="5" t="s">
        <v>1031</v>
      </c>
      <c r="D4309" s="2" t="s">
        <v>6086</v>
      </c>
    </row>
    <row r="4310" spans="1:4" ht="12.95" customHeight="1" x14ac:dyDescent="0.25">
      <c r="A4310" s="2" t="s">
        <v>675</v>
      </c>
      <c r="B4310" s="2" t="s">
        <v>1154</v>
      </c>
      <c r="C4310" s="5" t="s">
        <v>1033</v>
      </c>
      <c r="D4310" s="2" t="s">
        <v>1000</v>
      </c>
    </row>
    <row r="4311" spans="1:4" ht="12.95" customHeight="1" x14ac:dyDescent="0.25">
      <c r="A4311" s="2" t="s">
        <v>675</v>
      </c>
      <c r="B4311" s="2" t="s">
        <v>1154</v>
      </c>
      <c r="C4311" s="5" t="s">
        <v>1035</v>
      </c>
      <c r="D4311" s="2" t="s">
        <v>6087</v>
      </c>
    </row>
    <row r="4312" spans="1:4" ht="12.95" customHeight="1" x14ac:dyDescent="0.25">
      <c r="A4312" s="2" t="s">
        <v>675</v>
      </c>
      <c r="B4312" s="2" t="s">
        <v>1154</v>
      </c>
      <c r="C4312" s="5" t="s">
        <v>1177</v>
      </c>
      <c r="D4312" s="2" t="s">
        <v>6071</v>
      </c>
    </row>
    <row r="4313" spans="1:4" ht="12.95" customHeight="1" x14ac:dyDescent="0.25">
      <c r="A4313" s="2" t="s">
        <v>675</v>
      </c>
      <c r="B4313" s="2" t="s">
        <v>1154</v>
      </c>
      <c r="C4313" s="5" t="s">
        <v>1005</v>
      </c>
      <c r="D4313" s="2" t="s">
        <v>6088</v>
      </c>
    </row>
    <row r="4314" spans="1:4" ht="12.95" customHeight="1" x14ac:dyDescent="0.25">
      <c r="A4314" s="2" t="s">
        <v>677</v>
      </c>
      <c r="B4314" s="2" t="s">
        <v>1154</v>
      </c>
      <c r="C4314" s="5" t="s">
        <v>996</v>
      </c>
      <c r="D4314" s="2" t="s">
        <v>997</v>
      </c>
    </row>
    <row r="4315" spans="1:4" ht="12.95" customHeight="1" x14ac:dyDescent="0.25">
      <c r="A4315" s="2" t="s">
        <v>677</v>
      </c>
      <c r="B4315" s="2" t="s">
        <v>1154</v>
      </c>
      <c r="C4315" s="5" t="s">
        <v>978</v>
      </c>
      <c r="D4315" s="2" t="s">
        <v>1047</v>
      </c>
    </row>
    <row r="4316" spans="1:4" ht="12.95" customHeight="1" x14ac:dyDescent="0.25">
      <c r="A4316" s="2" t="s">
        <v>677</v>
      </c>
      <c r="B4316" s="2" t="s">
        <v>1154</v>
      </c>
      <c r="C4316" s="5" t="s">
        <v>980</v>
      </c>
      <c r="D4316" s="2" t="s">
        <v>1041</v>
      </c>
    </row>
    <row r="4317" spans="1:4" ht="12.95" customHeight="1" x14ac:dyDescent="0.25">
      <c r="A4317" s="2" t="s">
        <v>677</v>
      </c>
      <c r="B4317" s="2" t="s">
        <v>1154</v>
      </c>
      <c r="C4317" s="5" t="s">
        <v>982</v>
      </c>
      <c r="D4317" s="2" t="s">
        <v>983</v>
      </c>
    </row>
    <row r="4318" spans="1:4" ht="12.95" customHeight="1" x14ac:dyDescent="0.25">
      <c r="A4318" s="2" t="s">
        <v>677</v>
      </c>
      <c r="B4318" s="2" t="s">
        <v>1154</v>
      </c>
      <c r="C4318" s="5" t="s">
        <v>984</v>
      </c>
      <c r="D4318" s="2" t="s">
        <v>853</v>
      </c>
    </row>
    <row r="4319" spans="1:4" ht="12.95" customHeight="1" x14ac:dyDescent="0.25">
      <c r="A4319" s="2" t="s">
        <v>677</v>
      </c>
      <c r="B4319" s="2" t="s">
        <v>1154</v>
      </c>
      <c r="C4319" s="5" t="s">
        <v>986</v>
      </c>
      <c r="D4319" s="2" t="s">
        <v>6076</v>
      </c>
    </row>
    <row r="4320" spans="1:4" ht="12.95" customHeight="1" x14ac:dyDescent="0.25">
      <c r="A4320" s="2" t="s">
        <v>677</v>
      </c>
      <c r="B4320" s="2" t="s">
        <v>1154</v>
      </c>
      <c r="C4320" s="5" t="s">
        <v>988</v>
      </c>
      <c r="D4320" s="2" t="s">
        <v>6056</v>
      </c>
    </row>
    <row r="4321" spans="1:4" ht="12.95" customHeight="1" x14ac:dyDescent="0.25">
      <c r="A4321" s="2" t="s">
        <v>677</v>
      </c>
      <c r="B4321" s="2" t="s">
        <v>1154</v>
      </c>
      <c r="C4321" s="5" t="s">
        <v>990</v>
      </c>
      <c r="D4321" s="2" t="s">
        <v>6057</v>
      </c>
    </row>
    <row r="4322" spans="1:4" ht="12.95" customHeight="1" x14ac:dyDescent="0.25">
      <c r="A4322" s="2" t="s">
        <v>677</v>
      </c>
      <c r="B4322" s="2" t="s">
        <v>1154</v>
      </c>
      <c r="C4322" s="5" t="s">
        <v>992</v>
      </c>
      <c r="D4322" s="2" t="s">
        <v>6077</v>
      </c>
    </row>
    <row r="4323" spans="1:4" ht="12.95" customHeight="1" x14ac:dyDescent="0.25">
      <c r="A4323" s="2" t="s">
        <v>677</v>
      </c>
      <c r="B4323" s="2" t="s">
        <v>1154</v>
      </c>
      <c r="C4323" s="5" t="s">
        <v>994</v>
      </c>
      <c r="D4323" s="2" t="s">
        <v>6078</v>
      </c>
    </row>
    <row r="4324" spans="1:4" ht="12.95" customHeight="1" x14ac:dyDescent="0.25">
      <c r="A4324" s="2" t="s">
        <v>677</v>
      </c>
      <c r="B4324" s="2" t="s">
        <v>1154</v>
      </c>
      <c r="C4324" s="5" t="s">
        <v>1003</v>
      </c>
      <c r="D4324" s="2" t="s">
        <v>6079</v>
      </c>
    </row>
    <row r="4325" spans="1:4" ht="12.95" customHeight="1" x14ac:dyDescent="0.25">
      <c r="A4325" s="2" t="s">
        <v>677</v>
      </c>
      <c r="B4325" s="2" t="s">
        <v>1154</v>
      </c>
      <c r="C4325" s="5" t="s">
        <v>1013</v>
      </c>
      <c r="D4325" s="2" t="s">
        <v>6080</v>
      </c>
    </row>
    <row r="4326" spans="1:4" ht="12.95" customHeight="1" x14ac:dyDescent="0.25">
      <c r="A4326" s="2" t="s">
        <v>677</v>
      </c>
      <c r="B4326" s="2" t="s">
        <v>1154</v>
      </c>
      <c r="C4326" s="5" t="s">
        <v>1015</v>
      </c>
      <c r="D4326" s="2" t="s">
        <v>6081</v>
      </c>
    </row>
    <row r="4327" spans="1:4" ht="12.95" customHeight="1" x14ac:dyDescent="0.25">
      <c r="A4327" s="2" t="s">
        <v>677</v>
      </c>
      <c r="B4327" s="2" t="s">
        <v>1154</v>
      </c>
      <c r="C4327" s="5" t="s">
        <v>1017</v>
      </c>
      <c r="D4327" s="2" t="s">
        <v>6082</v>
      </c>
    </row>
    <row r="4328" spans="1:4" ht="12.95" customHeight="1" x14ac:dyDescent="0.25">
      <c r="A4328" s="2" t="s">
        <v>677</v>
      </c>
      <c r="B4328" s="2" t="s">
        <v>1154</v>
      </c>
      <c r="C4328" s="5" t="s">
        <v>1019</v>
      </c>
      <c r="D4328" s="2" t="s">
        <v>6083</v>
      </c>
    </row>
    <row r="4329" spans="1:4" ht="12.95" customHeight="1" x14ac:dyDescent="0.25">
      <c r="A4329" s="2" t="s">
        <v>677</v>
      </c>
      <c r="B4329" s="2" t="s">
        <v>1154</v>
      </c>
      <c r="C4329" s="5" t="s">
        <v>1021</v>
      </c>
      <c r="D4329" s="2" t="s">
        <v>6064</v>
      </c>
    </row>
    <row r="4330" spans="1:4" ht="12.95" customHeight="1" x14ac:dyDescent="0.25">
      <c r="A4330" s="2" t="s">
        <v>677</v>
      </c>
      <c r="B4330" s="2" t="s">
        <v>1154</v>
      </c>
      <c r="C4330" s="5" t="s">
        <v>1023</v>
      </c>
      <c r="D4330" s="2" t="s">
        <v>6084</v>
      </c>
    </row>
    <row r="4331" spans="1:4" ht="12.95" customHeight="1" x14ac:dyDescent="0.25">
      <c r="A4331" s="2" t="s">
        <v>677</v>
      </c>
      <c r="B4331" s="2" t="s">
        <v>1154</v>
      </c>
      <c r="C4331" s="5" t="s">
        <v>1025</v>
      </c>
      <c r="D4331" s="2" t="s">
        <v>6066</v>
      </c>
    </row>
    <row r="4332" spans="1:4" ht="12.95" customHeight="1" x14ac:dyDescent="0.25">
      <c r="A4332" s="2" t="s">
        <v>677</v>
      </c>
      <c r="B4332" s="2" t="s">
        <v>1154</v>
      </c>
      <c r="C4332" s="5" t="s">
        <v>1027</v>
      </c>
      <c r="D4332" s="2" t="s">
        <v>6067</v>
      </c>
    </row>
    <row r="4333" spans="1:4" ht="12.95" customHeight="1" x14ac:dyDescent="0.25">
      <c r="A4333" s="2" t="s">
        <v>677</v>
      </c>
      <c r="B4333" s="2" t="s">
        <v>1154</v>
      </c>
      <c r="C4333" s="5" t="s">
        <v>1029</v>
      </c>
      <c r="D4333" s="2" t="s">
        <v>6085</v>
      </c>
    </row>
    <row r="4334" spans="1:4" ht="12.95" customHeight="1" x14ac:dyDescent="0.25">
      <c r="A4334" s="2" t="s">
        <v>677</v>
      </c>
      <c r="B4334" s="2" t="s">
        <v>1154</v>
      </c>
      <c r="C4334" s="5" t="s">
        <v>1031</v>
      </c>
      <c r="D4334" s="2" t="s">
        <v>6086</v>
      </c>
    </row>
    <row r="4335" spans="1:4" ht="12.95" customHeight="1" x14ac:dyDescent="0.25">
      <c r="A4335" s="2" t="s">
        <v>677</v>
      </c>
      <c r="B4335" s="2" t="s">
        <v>1154</v>
      </c>
      <c r="C4335" s="5" t="s">
        <v>1033</v>
      </c>
      <c r="D4335" s="2" t="s">
        <v>1000</v>
      </c>
    </row>
    <row r="4336" spans="1:4" ht="12.95" customHeight="1" x14ac:dyDescent="0.25">
      <c r="A4336" s="2" t="s">
        <v>677</v>
      </c>
      <c r="B4336" s="2" t="s">
        <v>1154</v>
      </c>
      <c r="C4336" s="5" t="s">
        <v>1035</v>
      </c>
      <c r="D4336" s="2" t="s">
        <v>6087</v>
      </c>
    </row>
    <row r="4337" spans="1:4" ht="12.95" customHeight="1" x14ac:dyDescent="0.25">
      <c r="A4337" s="2" t="s">
        <v>677</v>
      </c>
      <c r="B4337" s="2" t="s">
        <v>1154</v>
      </c>
      <c r="C4337" s="5" t="s">
        <v>1177</v>
      </c>
      <c r="D4337" s="2" t="s">
        <v>6071</v>
      </c>
    </row>
    <row r="4338" spans="1:4" ht="12.95" customHeight="1" x14ac:dyDescent="0.25">
      <c r="A4338" s="2" t="s">
        <v>677</v>
      </c>
      <c r="B4338" s="2" t="s">
        <v>1154</v>
      </c>
      <c r="C4338" s="5" t="s">
        <v>1005</v>
      </c>
      <c r="D4338" s="2" t="s">
        <v>6088</v>
      </c>
    </row>
    <row r="4339" spans="1:4" ht="12.95" customHeight="1" x14ac:dyDescent="0.25">
      <c r="A4339" s="2" t="s">
        <v>679</v>
      </c>
      <c r="B4339" s="2" t="s">
        <v>1154</v>
      </c>
      <c r="C4339" s="5" t="s">
        <v>996</v>
      </c>
      <c r="D4339" s="2" t="s">
        <v>997</v>
      </c>
    </row>
    <row r="4340" spans="1:4" ht="12.95" customHeight="1" x14ac:dyDescent="0.25">
      <c r="A4340" s="2" t="s">
        <v>679</v>
      </c>
      <c r="B4340" s="2" t="s">
        <v>1154</v>
      </c>
      <c r="C4340" s="5" t="s">
        <v>978</v>
      </c>
      <c r="D4340" s="2" t="s">
        <v>1047</v>
      </c>
    </row>
    <row r="4341" spans="1:4" ht="12.95" customHeight="1" x14ac:dyDescent="0.25">
      <c r="A4341" s="2" t="s">
        <v>679</v>
      </c>
      <c r="B4341" s="2" t="s">
        <v>1154</v>
      </c>
      <c r="C4341" s="5" t="s">
        <v>980</v>
      </c>
      <c r="D4341" s="2" t="s">
        <v>1041</v>
      </c>
    </row>
    <row r="4342" spans="1:4" ht="12.95" customHeight="1" x14ac:dyDescent="0.25">
      <c r="A4342" s="2" t="s">
        <v>679</v>
      </c>
      <c r="B4342" s="2" t="s">
        <v>1154</v>
      </c>
      <c r="C4342" s="5" t="s">
        <v>982</v>
      </c>
      <c r="D4342" s="2" t="s">
        <v>983</v>
      </c>
    </row>
    <row r="4343" spans="1:4" ht="12.95" customHeight="1" x14ac:dyDescent="0.25">
      <c r="A4343" s="2" t="s">
        <v>679</v>
      </c>
      <c r="B4343" s="2" t="s">
        <v>1154</v>
      </c>
      <c r="C4343" s="5" t="s">
        <v>984</v>
      </c>
      <c r="D4343" s="2" t="s">
        <v>853</v>
      </c>
    </row>
    <row r="4344" spans="1:4" ht="12.95" customHeight="1" x14ac:dyDescent="0.25">
      <c r="A4344" s="2" t="s">
        <v>679</v>
      </c>
      <c r="B4344" s="2" t="s">
        <v>1154</v>
      </c>
      <c r="C4344" s="5" t="s">
        <v>986</v>
      </c>
      <c r="D4344" s="2" t="s">
        <v>6076</v>
      </c>
    </row>
    <row r="4345" spans="1:4" ht="12.95" customHeight="1" x14ac:dyDescent="0.25">
      <c r="A4345" s="2" t="s">
        <v>679</v>
      </c>
      <c r="B4345" s="2" t="s">
        <v>1154</v>
      </c>
      <c r="C4345" s="5" t="s">
        <v>988</v>
      </c>
      <c r="D4345" s="2" t="s">
        <v>6056</v>
      </c>
    </row>
    <row r="4346" spans="1:4" ht="12.95" customHeight="1" x14ac:dyDescent="0.25">
      <c r="A4346" s="2" t="s">
        <v>679</v>
      </c>
      <c r="B4346" s="2" t="s">
        <v>1154</v>
      </c>
      <c r="C4346" s="5" t="s">
        <v>990</v>
      </c>
      <c r="D4346" s="2" t="s">
        <v>6057</v>
      </c>
    </row>
    <row r="4347" spans="1:4" ht="12.95" customHeight="1" x14ac:dyDescent="0.25">
      <c r="A4347" s="2" t="s">
        <v>679</v>
      </c>
      <c r="B4347" s="2" t="s">
        <v>1154</v>
      </c>
      <c r="C4347" s="5" t="s">
        <v>992</v>
      </c>
      <c r="D4347" s="2" t="s">
        <v>6077</v>
      </c>
    </row>
    <row r="4348" spans="1:4" ht="12.95" customHeight="1" x14ac:dyDescent="0.25">
      <c r="A4348" s="2" t="s">
        <v>679</v>
      </c>
      <c r="B4348" s="2" t="s">
        <v>1154</v>
      </c>
      <c r="C4348" s="5" t="s">
        <v>994</v>
      </c>
      <c r="D4348" s="2" t="s">
        <v>6078</v>
      </c>
    </row>
    <row r="4349" spans="1:4" ht="12.95" customHeight="1" x14ac:dyDescent="0.25">
      <c r="A4349" s="2" t="s">
        <v>679</v>
      </c>
      <c r="B4349" s="2" t="s">
        <v>1154</v>
      </c>
      <c r="C4349" s="5" t="s">
        <v>1003</v>
      </c>
      <c r="D4349" s="2" t="s">
        <v>6079</v>
      </c>
    </row>
    <row r="4350" spans="1:4" ht="12.95" customHeight="1" x14ac:dyDescent="0.25">
      <c r="A4350" s="2" t="s">
        <v>679</v>
      </c>
      <c r="B4350" s="2" t="s">
        <v>1154</v>
      </c>
      <c r="C4350" s="5" t="s">
        <v>1013</v>
      </c>
      <c r="D4350" s="2" t="s">
        <v>6080</v>
      </c>
    </row>
    <row r="4351" spans="1:4" ht="12.95" customHeight="1" x14ac:dyDescent="0.25">
      <c r="A4351" s="2" t="s">
        <v>679</v>
      </c>
      <c r="B4351" s="2" t="s">
        <v>1154</v>
      </c>
      <c r="C4351" s="5" t="s">
        <v>1015</v>
      </c>
      <c r="D4351" s="2" t="s">
        <v>6081</v>
      </c>
    </row>
    <row r="4352" spans="1:4" ht="12.95" customHeight="1" x14ac:dyDescent="0.25">
      <c r="A4352" s="2" t="s">
        <v>679</v>
      </c>
      <c r="B4352" s="2" t="s">
        <v>1154</v>
      </c>
      <c r="C4352" s="5" t="s">
        <v>1017</v>
      </c>
      <c r="D4352" s="2" t="s">
        <v>6082</v>
      </c>
    </row>
    <row r="4353" spans="1:4" ht="12.95" customHeight="1" x14ac:dyDescent="0.25">
      <c r="A4353" s="2" t="s">
        <v>679</v>
      </c>
      <c r="B4353" s="2" t="s">
        <v>1154</v>
      </c>
      <c r="C4353" s="5" t="s">
        <v>1019</v>
      </c>
      <c r="D4353" s="2" t="s">
        <v>6083</v>
      </c>
    </row>
    <row r="4354" spans="1:4" ht="12.95" customHeight="1" x14ac:dyDescent="0.25">
      <c r="A4354" s="2" t="s">
        <v>679</v>
      </c>
      <c r="B4354" s="2" t="s">
        <v>1154</v>
      </c>
      <c r="C4354" s="5" t="s">
        <v>1021</v>
      </c>
      <c r="D4354" s="2" t="s">
        <v>6064</v>
      </c>
    </row>
    <row r="4355" spans="1:4" ht="12.95" customHeight="1" x14ac:dyDescent="0.25">
      <c r="A4355" s="2" t="s">
        <v>679</v>
      </c>
      <c r="B4355" s="2" t="s">
        <v>1154</v>
      </c>
      <c r="C4355" s="5" t="s">
        <v>1023</v>
      </c>
      <c r="D4355" s="2" t="s">
        <v>6084</v>
      </c>
    </row>
    <row r="4356" spans="1:4" ht="12.95" customHeight="1" x14ac:dyDescent="0.25">
      <c r="A4356" s="2" t="s">
        <v>679</v>
      </c>
      <c r="B4356" s="2" t="s">
        <v>1154</v>
      </c>
      <c r="C4356" s="5" t="s">
        <v>1025</v>
      </c>
      <c r="D4356" s="2" t="s">
        <v>6066</v>
      </c>
    </row>
    <row r="4357" spans="1:4" ht="12.95" customHeight="1" x14ac:dyDescent="0.25">
      <c r="A4357" s="2" t="s">
        <v>679</v>
      </c>
      <c r="B4357" s="2" t="s">
        <v>1154</v>
      </c>
      <c r="C4357" s="5" t="s">
        <v>1027</v>
      </c>
      <c r="D4357" s="2" t="s">
        <v>6067</v>
      </c>
    </row>
    <row r="4358" spans="1:4" ht="12.95" customHeight="1" x14ac:dyDescent="0.25">
      <c r="A4358" s="2" t="s">
        <v>679</v>
      </c>
      <c r="B4358" s="2" t="s">
        <v>1154</v>
      </c>
      <c r="C4358" s="5" t="s">
        <v>1029</v>
      </c>
      <c r="D4358" s="2" t="s">
        <v>6085</v>
      </c>
    </row>
    <row r="4359" spans="1:4" ht="12.95" customHeight="1" x14ac:dyDescent="0.25">
      <c r="A4359" s="2" t="s">
        <v>679</v>
      </c>
      <c r="B4359" s="2" t="s">
        <v>1154</v>
      </c>
      <c r="C4359" s="5" t="s">
        <v>1031</v>
      </c>
      <c r="D4359" s="2" t="s">
        <v>6086</v>
      </c>
    </row>
    <row r="4360" spans="1:4" ht="12.95" customHeight="1" x14ac:dyDescent="0.25">
      <c r="A4360" s="2" t="s">
        <v>679</v>
      </c>
      <c r="B4360" s="2" t="s">
        <v>1154</v>
      </c>
      <c r="C4360" s="5" t="s">
        <v>1033</v>
      </c>
      <c r="D4360" s="2" t="s">
        <v>1000</v>
      </c>
    </row>
    <row r="4361" spans="1:4" ht="12.95" customHeight="1" x14ac:dyDescent="0.25">
      <c r="A4361" s="2" t="s">
        <v>679</v>
      </c>
      <c r="B4361" s="2" t="s">
        <v>1154</v>
      </c>
      <c r="C4361" s="5" t="s">
        <v>1035</v>
      </c>
      <c r="D4361" s="2" t="s">
        <v>6087</v>
      </c>
    </row>
    <row r="4362" spans="1:4" ht="12.95" customHeight="1" x14ac:dyDescent="0.25">
      <c r="A4362" s="2" t="s">
        <v>679</v>
      </c>
      <c r="B4362" s="2" t="s">
        <v>1154</v>
      </c>
      <c r="C4362" s="5" t="s">
        <v>1177</v>
      </c>
      <c r="D4362" s="2" t="s">
        <v>6071</v>
      </c>
    </row>
    <row r="4363" spans="1:4" ht="12.95" customHeight="1" x14ac:dyDescent="0.25">
      <c r="A4363" s="2" t="s">
        <v>679</v>
      </c>
      <c r="B4363" s="2" t="s">
        <v>1154</v>
      </c>
      <c r="C4363" s="5" t="s">
        <v>1005</v>
      </c>
      <c r="D4363" s="2" t="s">
        <v>6088</v>
      </c>
    </row>
    <row r="4364" spans="1:4" ht="12.95" customHeight="1" x14ac:dyDescent="0.25">
      <c r="A4364" s="2" t="s">
        <v>681</v>
      </c>
      <c r="B4364" s="2" t="s">
        <v>1154</v>
      </c>
      <c r="C4364" s="5" t="s">
        <v>996</v>
      </c>
      <c r="D4364" s="2" t="s">
        <v>997</v>
      </c>
    </row>
    <row r="4365" spans="1:4" ht="12.95" customHeight="1" x14ac:dyDescent="0.25">
      <c r="A4365" s="2" t="s">
        <v>681</v>
      </c>
      <c r="B4365" s="2" t="s">
        <v>1154</v>
      </c>
      <c r="C4365" s="5" t="s">
        <v>978</v>
      </c>
      <c r="D4365" s="2" t="s">
        <v>1047</v>
      </c>
    </row>
    <row r="4366" spans="1:4" ht="12.95" customHeight="1" x14ac:dyDescent="0.25">
      <c r="A4366" s="2" t="s">
        <v>681</v>
      </c>
      <c r="B4366" s="2" t="s">
        <v>1154</v>
      </c>
      <c r="C4366" s="5" t="s">
        <v>980</v>
      </c>
      <c r="D4366" s="2" t="s">
        <v>1041</v>
      </c>
    </row>
    <row r="4367" spans="1:4" ht="12.95" customHeight="1" x14ac:dyDescent="0.25">
      <c r="A4367" s="2" t="s">
        <v>681</v>
      </c>
      <c r="B4367" s="2" t="s">
        <v>1154</v>
      </c>
      <c r="C4367" s="5" t="s">
        <v>982</v>
      </c>
      <c r="D4367" s="2" t="s">
        <v>983</v>
      </c>
    </row>
    <row r="4368" spans="1:4" ht="12.95" customHeight="1" x14ac:dyDescent="0.25">
      <c r="A4368" s="2" t="s">
        <v>681</v>
      </c>
      <c r="B4368" s="2" t="s">
        <v>1154</v>
      </c>
      <c r="C4368" s="5" t="s">
        <v>984</v>
      </c>
      <c r="D4368" s="2" t="s">
        <v>853</v>
      </c>
    </row>
    <row r="4369" spans="1:4" ht="12.95" customHeight="1" x14ac:dyDescent="0.25">
      <c r="A4369" s="2" t="s">
        <v>681</v>
      </c>
      <c r="B4369" s="2" t="s">
        <v>1154</v>
      </c>
      <c r="C4369" s="5" t="s">
        <v>986</v>
      </c>
      <c r="D4369" s="2" t="s">
        <v>6076</v>
      </c>
    </row>
    <row r="4370" spans="1:4" ht="12.95" customHeight="1" x14ac:dyDescent="0.25">
      <c r="A4370" s="2" t="s">
        <v>681</v>
      </c>
      <c r="B4370" s="2" t="s">
        <v>1154</v>
      </c>
      <c r="C4370" s="5" t="s">
        <v>988</v>
      </c>
      <c r="D4370" s="2" t="s">
        <v>6056</v>
      </c>
    </row>
    <row r="4371" spans="1:4" ht="12.95" customHeight="1" x14ac:dyDescent="0.25">
      <c r="A4371" s="2" t="s">
        <v>681</v>
      </c>
      <c r="B4371" s="2" t="s">
        <v>1154</v>
      </c>
      <c r="C4371" s="5" t="s">
        <v>990</v>
      </c>
      <c r="D4371" s="2" t="s">
        <v>6057</v>
      </c>
    </row>
    <row r="4372" spans="1:4" ht="12.95" customHeight="1" x14ac:dyDescent="0.25">
      <c r="A4372" s="2" t="s">
        <v>681</v>
      </c>
      <c r="B4372" s="2" t="s">
        <v>1154</v>
      </c>
      <c r="C4372" s="5" t="s">
        <v>992</v>
      </c>
      <c r="D4372" s="2" t="s">
        <v>6077</v>
      </c>
    </row>
    <row r="4373" spans="1:4" ht="12.95" customHeight="1" x14ac:dyDescent="0.25">
      <c r="A4373" s="2" t="s">
        <v>681</v>
      </c>
      <c r="B4373" s="2" t="s">
        <v>1154</v>
      </c>
      <c r="C4373" s="5" t="s">
        <v>994</v>
      </c>
      <c r="D4373" s="2" t="s">
        <v>6078</v>
      </c>
    </row>
    <row r="4374" spans="1:4" ht="12.95" customHeight="1" x14ac:dyDescent="0.25">
      <c r="A4374" s="2" t="s">
        <v>681</v>
      </c>
      <c r="B4374" s="2" t="s">
        <v>1154</v>
      </c>
      <c r="C4374" s="5" t="s">
        <v>1003</v>
      </c>
      <c r="D4374" s="2" t="s">
        <v>6079</v>
      </c>
    </row>
    <row r="4375" spans="1:4" ht="12.95" customHeight="1" x14ac:dyDescent="0.25">
      <c r="A4375" s="2" t="s">
        <v>681</v>
      </c>
      <c r="B4375" s="2" t="s">
        <v>1154</v>
      </c>
      <c r="C4375" s="5" t="s">
        <v>1013</v>
      </c>
      <c r="D4375" s="2" t="s">
        <v>6080</v>
      </c>
    </row>
    <row r="4376" spans="1:4" ht="12.95" customHeight="1" x14ac:dyDescent="0.25">
      <c r="A4376" s="2" t="s">
        <v>681</v>
      </c>
      <c r="B4376" s="2" t="s">
        <v>1154</v>
      </c>
      <c r="C4376" s="5" t="s">
        <v>1015</v>
      </c>
      <c r="D4376" s="2" t="s">
        <v>6081</v>
      </c>
    </row>
    <row r="4377" spans="1:4" ht="12.95" customHeight="1" x14ac:dyDescent="0.25">
      <c r="A4377" s="2" t="s">
        <v>681</v>
      </c>
      <c r="B4377" s="2" t="s">
        <v>1154</v>
      </c>
      <c r="C4377" s="5" t="s">
        <v>1017</v>
      </c>
      <c r="D4377" s="2" t="s">
        <v>6082</v>
      </c>
    </row>
    <row r="4378" spans="1:4" ht="12.95" customHeight="1" x14ac:dyDescent="0.25">
      <c r="A4378" s="2" t="s">
        <v>681</v>
      </c>
      <c r="B4378" s="2" t="s">
        <v>1154</v>
      </c>
      <c r="C4378" s="5" t="s">
        <v>1019</v>
      </c>
      <c r="D4378" s="2" t="s">
        <v>6083</v>
      </c>
    </row>
    <row r="4379" spans="1:4" ht="12.95" customHeight="1" x14ac:dyDescent="0.25">
      <c r="A4379" s="2" t="s">
        <v>681</v>
      </c>
      <c r="B4379" s="2" t="s">
        <v>1154</v>
      </c>
      <c r="C4379" s="5" t="s">
        <v>1021</v>
      </c>
      <c r="D4379" s="2" t="s">
        <v>6064</v>
      </c>
    </row>
    <row r="4380" spans="1:4" ht="12.95" customHeight="1" x14ac:dyDescent="0.25">
      <c r="A4380" s="2" t="s">
        <v>681</v>
      </c>
      <c r="B4380" s="2" t="s">
        <v>1154</v>
      </c>
      <c r="C4380" s="5" t="s">
        <v>1023</v>
      </c>
      <c r="D4380" s="2" t="s">
        <v>6084</v>
      </c>
    </row>
    <row r="4381" spans="1:4" ht="12.95" customHeight="1" x14ac:dyDescent="0.25">
      <c r="A4381" s="2" t="s">
        <v>681</v>
      </c>
      <c r="B4381" s="2" t="s">
        <v>1154</v>
      </c>
      <c r="C4381" s="5" t="s">
        <v>1025</v>
      </c>
      <c r="D4381" s="2" t="s">
        <v>6066</v>
      </c>
    </row>
    <row r="4382" spans="1:4" ht="12.95" customHeight="1" x14ac:dyDescent="0.25">
      <c r="A4382" s="2" t="s">
        <v>681</v>
      </c>
      <c r="B4382" s="2" t="s">
        <v>1154</v>
      </c>
      <c r="C4382" s="5" t="s">
        <v>1027</v>
      </c>
      <c r="D4382" s="2" t="s">
        <v>6067</v>
      </c>
    </row>
    <row r="4383" spans="1:4" ht="12.95" customHeight="1" x14ac:dyDescent="0.25">
      <c r="A4383" s="2" t="s">
        <v>681</v>
      </c>
      <c r="B4383" s="2" t="s">
        <v>1154</v>
      </c>
      <c r="C4383" s="5" t="s">
        <v>1029</v>
      </c>
      <c r="D4383" s="2" t="s">
        <v>6085</v>
      </c>
    </row>
    <row r="4384" spans="1:4" ht="12.95" customHeight="1" x14ac:dyDescent="0.25">
      <c r="A4384" s="2" t="s">
        <v>681</v>
      </c>
      <c r="B4384" s="2" t="s">
        <v>1154</v>
      </c>
      <c r="C4384" s="5" t="s">
        <v>1031</v>
      </c>
      <c r="D4384" s="2" t="s">
        <v>6086</v>
      </c>
    </row>
    <row r="4385" spans="1:4" ht="12.95" customHeight="1" x14ac:dyDescent="0.25">
      <c r="A4385" s="2" t="s">
        <v>681</v>
      </c>
      <c r="B4385" s="2" t="s">
        <v>1154</v>
      </c>
      <c r="C4385" s="5" t="s">
        <v>1033</v>
      </c>
      <c r="D4385" s="2" t="s">
        <v>1000</v>
      </c>
    </row>
    <row r="4386" spans="1:4" ht="12.95" customHeight="1" x14ac:dyDescent="0.25">
      <c r="A4386" s="2" t="s">
        <v>681</v>
      </c>
      <c r="B4386" s="2" t="s">
        <v>1154</v>
      </c>
      <c r="C4386" s="5" t="s">
        <v>1035</v>
      </c>
      <c r="D4386" s="2" t="s">
        <v>6087</v>
      </c>
    </row>
    <row r="4387" spans="1:4" ht="12.95" customHeight="1" x14ac:dyDescent="0.25">
      <c r="A4387" s="2" t="s">
        <v>681</v>
      </c>
      <c r="B4387" s="2" t="s">
        <v>1154</v>
      </c>
      <c r="C4387" s="5" t="s">
        <v>1177</v>
      </c>
      <c r="D4387" s="2" t="s">
        <v>6071</v>
      </c>
    </row>
    <row r="4388" spans="1:4" ht="12.95" customHeight="1" x14ac:dyDescent="0.25">
      <c r="A4388" s="2" t="s">
        <v>681</v>
      </c>
      <c r="B4388" s="2" t="s">
        <v>1154</v>
      </c>
      <c r="C4388" s="5" t="s">
        <v>1005</v>
      </c>
      <c r="D4388" s="2" t="s">
        <v>6088</v>
      </c>
    </row>
    <row r="4389" spans="1:4" ht="12.95" customHeight="1" x14ac:dyDescent="0.25">
      <c r="A4389" s="2" t="s">
        <v>683</v>
      </c>
      <c r="B4389" s="2" t="s">
        <v>1154</v>
      </c>
      <c r="C4389" s="5" t="s">
        <v>996</v>
      </c>
      <c r="D4389" s="2" t="s">
        <v>997</v>
      </c>
    </row>
    <row r="4390" spans="1:4" ht="12.95" customHeight="1" x14ac:dyDescent="0.25">
      <c r="A4390" s="2" t="s">
        <v>683</v>
      </c>
      <c r="B4390" s="2" t="s">
        <v>1154</v>
      </c>
      <c r="C4390" s="5" t="s">
        <v>978</v>
      </c>
      <c r="D4390" s="2" t="s">
        <v>1047</v>
      </c>
    </row>
    <row r="4391" spans="1:4" ht="12.95" customHeight="1" x14ac:dyDescent="0.25">
      <c r="A4391" s="2" t="s">
        <v>683</v>
      </c>
      <c r="B4391" s="2" t="s">
        <v>1154</v>
      </c>
      <c r="C4391" s="5" t="s">
        <v>980</v>
      </c>
      <c r="D4391" s="2" t="s">
        <v>1041</v>
      </c>
    </row>
    <row r="4392" spans="1:4" ht="12.95" customHeight="1" x14ac:dyDescent="0.25">
      <c r="A4392" s="2" t="s">
        <v>683</v>
      </c>
      <c r="B4392" s="2" t="s">
        <v>1154</v>
      </c>
      <c r="C4392" s="5" t="s">
        <v>982</v>
      </c>
      <c r="D4392" s="2" t="s">
        <v>983</v>
      </c>
    </row>
    <row r="4393" spans="1:4" ht="12.95" customHeight="1" x14ac:dyDescent="0.25">
      <c r="A4393" s="2" t="s">
        <v>683</v>
      </c>
      <c r="B4393" s="2" t="s">
        <v>1154</v>
      </c>
      <c r="C4393" s="5" t="s">
        <v>984</v>
      </c>
      <c r="D4393" s="2" t="s">
        <v>853</v>
      </c>
    </row>
    <row r="4394" spans="1:4" ht="12.95" customHeight="1" x14ac:dyDescent="0.25">
      <c r="A4394" s="2" t="s">
        <v>683</v>
      </c>
      <c r="B4394" s="2" t="s">
        <v>1154</v>
      </c>
      <c r="C4394" s="5" t="s">
        <v>986</v>
      </c>
      <c r="D4394" s="2" t="s">
        <v>6076</v>
      </c>
    </row>
    <row r="4395" spans="1:4" ht="12.95" customHeight="1" x14ac:dyDescent="0.25">
      <c r="A4395" s="2" t="s">
        <v>683</v>
      </c>
      <c r="B4395" s="2" t="s">
        <v>1154</v>
      </c>
      <c r="C4395" s="5" t="s">
        <v>988</v>
      </c>
      <c r="D4395" s="2" t="s">
        <v>6056</v>
      </c>
    </row>
    <row r="4396" spans="1:4" ht="12.95" customHeight="1" x14ac:dyDescent="0.25">
      <c r="A4396" s="2" t="s">
        <v>683</v>
      </c>
      <c r="B4396" s="2" t="s">
        <v>1154</v>
      </c>
      <c r="C4396" s="5" t="s">
        <v>990</v>
      </c>
      <c r="D4396" s="2" t="s">
        <v>6057</v>
      </c>
    </row>
    <row r="4397" spans="1:4" ht="12.95" customHeight="1" x14ac:dyDescent="0.25">
      <c r="A4397" s="2" t="s">
        <v>683</v>
      </c>
      <c r="B4397" s="2" t="s">
        <v>1154</v>
      </c>
      <c r="C4397" s="5" t="s">
        <v>992</v>
      </c>
      <c r="D4397" s="2" t="s">
        <v>6077</v>
      </c>
    </row>
    <row r="4398" spans="1:4" ht="12.95" customHeight="1" x14ac:dyDescent="0.25">
      <c r="A4398" s="2" t="s">
        <v>683</v>
      </c>
      <c r="B4398" s="2" t="s">
        <v>1154</v>
      </c>
      <c r="C4398" s="5" t="s">
        <v>994</v>
      </c>
      <c r="D4398" s="2" t="s">
        <v>6078</v>
      </c>
    </row>
    <row r="4399" spans="1:4" ht="12.95" customHeight="1" x14ac:dyDescent="0.25">
      <c r="A4399" s="2" t="s">
        <v>683</v>
      </c>
      <c r="B4399" s="2" t="s">
        <v>1154</v>
      </c>
      <c r="C4399" s="5" t="s">
        <v>1003</v>
      </c>
      <c r="D4399" s="2" t="s">
        <v>6079</v>
      </c>
    </row>
    <row r="4400" spans="1:4" ht="12.95" customHeight="1" x14ac:dyDescent="0.25">
      <c r="A4400" s="2" t="s">
        <v>683</v>
      </c>
      <c r="B4400" s="2" t="s">
        <v>1154</v>
      </c>
      <c r="C4400" s="5" t="s">
        <v>1013</v>
      </c>
      <c r="D4400" s="2" t="s">
        <v>6080</v>
      </c>
    </row>
    <row r="4401" spans="1:4" ht="12.95" customHeight="1" x14ac:dyDescent="0.25">
      <c r="A4401" s="2" t="s">
        <v>683</v>
      </c>
      <c r="B4401" s="2" t="s">
        <v>1154</v>
      </c>
      <c r="C4401" s="5" t="s">
        <v>1015</v>
      </c>
      <c r="D4401" s="2" t="s">
        <v>6081</v>
      </c>
    </row>
    <row r="4402" spans="1:4" ht="12.95" customHeight="1" x14ac:dyDescent="0.25">
      <c r="A4402" s="2" t="s">
        <v>683</v>
      </c>
      <c r="B4402" s="2" t="s">
        <v>1154</v>
      </c>
      <c r="C4402" s="5" t="s">
        <v>1017</v>
      </c>
      <c r="D4402" s="2" t="s">
        <v>6082</v>
      </c>
    </row>
    <row r="4403" spans="1:4" ht="12.95" customHeight="1" x14ac:dyDescent="0.25">
      <c r="A4403" s="2" t="s">
        <v>683</v>
      </c>
      <c r="B4403" s="2" t="s">
        <v>1154</v>
      </c>
      <c r="C4403" s="5" t="s">
        <v>1019</v>
      </c>
      <c r="D4403" s="2" t="s">
        <v>6083</v>
      </c>
    </row>
    <row r="4404" spans="1:4" ht="12.95" customHeight="1" x14ac:dyDescent="0.25">
      <c r="A4404" s="2" t="s">
        <v>683</v>
      </c>
      <c r="B4404" s="2" t="s">
        <v>1154</v>
      </c>
      <c r="C4404" s="5" t="s">
        <v>1021</v>
      </c>
      <c r="D4404" s="2" t="s">
        <v>6064</v>
      </c>
    </row>
    <row r="4405" spans="1:4" ht="12.95" customHeight="1" x14ac:dyDescent="0.25">
      <c r="A4405" s="2" t="s">
        <v>683</v>
      </c>
      <c r="B4405" s="2" t="s">
        <v>1154</v>
      </c>
      <c r="C4405" s="5" t="s">
        <v>1023</v>
      </c>
      <c r="D4405" s="2" t="s">
        <v>6084</v>
      </c>
    </row>
    <row r="4406" spans="1:4" ht="12.95" customHeight="1" x14ac:dyDescent="0.25">
      <c r="A4406" s="2" t="s">
        <v>683</v>
      </c>
      <c r="B4406" s="2" t="s">
        <v>1154</v>
      </c>
      <c r="C4406" s="5" t="s">
        <v>1025</v>
      </c>
      <c r="D4406" s="2" t="s">
        <v>6066</v>
      </c>
    </row>
    <row r="4407" spans="1:4" ht="12.95" customHeight="1" x14ac:dyDescent="0.25">
      <c r="A4407" s="2" t="s">
        <v>683</v>
      </c>
      <c r="B4407" s="2" t="s">
        <v>1154</v>
      </c>
      <c r="C4407" s="5" t="s">
        <v>1027</v>
      </c>
      <c r="D4407" s="2" t="s">
        <v>6067</v>
      </c>
    </row>
    <row r="4408" spans="1:4" ht="12.95" customHeight="1" x14ac:dyDescent="0.25">
      <c r="A4408" s="2" t="s">
        <v>683</v>
      </c>
      <c r="B4408" s="2" t="s">
        <v>1154</v>
      </c>
      <c r="C4408" s="5" t="s">
        <v>1029</v>
      </c>
      <c r="D4408" s="2" t="s">
        <v>6085</v>
      </c>
    </row>
    <row r="4409" spans="1:4" ht="12.95" customHeight="1" x14ac:dyDescent="0.25">
      <c r="A4409" s="2" t="s">
        <v>683</v>
      </c>
      <c r="B4409" s="2" t="s">
        <v>1154</v>
      </c>
      <c r="C4409" s="5" t="s">
        <v>1031</v>
      </c>
      <c r="D4409" s="2" t="s">
        <v>6086</v>
      </c>
    </row>
    <row r="4410" spans="1:4" ht="12.95" customHeight="1" x14ac:dyDescent="0.25">
      <c r="A4410" s="2" t="s">
        <v>683</v>
      </c>
      <c r="B4410" s="2" t="s">
        <v>1154</v>
      </c>
      <c r="C4410" s="5" t="s">
        <v>1033</v>
      </c>
      <c r="D4410" s="2" t="s">
        <v>1000</v>
      </c>
    </row>
    <row r="4411" spans="1:4" ht="12.95" customHeight="1" x14ac:dyDescent="0.25">
      <c r="A4411" s="2" t="s">
        <v>683</v>
      </c>
      <c r="B4411" s="2" t="s">
        <v>1154</v>
      </c>
      <c r="C4411" s="5" t="s">
        <v>1035</v>
      </c>
      <c r="D4411" s="2" t="s">
        <v>6087</v>
      </c>
    </row>
    <row r="4412" spans="1:4" ht="12.95" customHeight="1" x14ac:dyDescent="0.25">
      <c r="A4412" s="2" t="s">
        <v>683</v>
      </c>
      <c r="B4412" s="2" t="s">
        <v>1154</v>
      </c>
      <c r="C4412" s="5" t="s">
        <v>1177</v>
      </c>
      <c r="D4412" s="2" t="s">
        <v>6071</v>
      </c>
    </row>
    <row r="4413" spans="1:4" ht="12.95" customHeight="1" x14ac:dyDescent="0.25">
      <c r="A4413" s="2" t="s">
        <v>683</v>
      </c>
      <c r="B4413" s="2" t="s">
        <v>1154</v>
      </c>
      <c r="C4413" s="5" t="s">
        <v>1005</v>
      </c>
      <c r="D4413" s="2" t="s">
        <v>6088</v>
      </c>
    </row>
    <row r="4414" spans="1:4" ht="12.95" customHeight="1" x14ac:dyDescent="0.25">
      <c r="A4414" s="2" t="s">
        <v>685</v>
      </c>
      <c r="B4414" s="2" t="s">
        <v>1154</v>
      </c>
      <c r="C4414" s="5" t="s">
        <v>996</v>
      </c>
      <c r="D4414" s="2" t="s">
        <v>997</v>
      </c>
    </row>
    <row r="4415" spans="1:4" ht="12.95" customHeight="1" x14ac:dyDescent="0.25">
      <c r="A4415" s="2" t="s">
        <v>685</v>
      </c>
      <c r="B4415" s="2" t="s">
        <v>1154</v>
      </c>
      <c r="C4415" s="5" t="s">
        <v>978</v>
      </c>
      <c r="D4415" s="2" t="s">
        <v>1047</v>
      </c>
    </row>
    <row r="4416" spans="1:4" ht="12.95" customHeight="1" x14ac:dyDescent="0.25">
      <c r="A4416" s="2" t="s">
        <v>685</v>
      </c>
      <c r="B4416" s="2" t="s">
        <v>1154</v>
      </c>
      <c r="C4416" s="5" t="s">
        <v>980</v>
      </c>
      <c r="D4416" s="2" t="s">
        <v>1041</v>
      </c>
    </row>
    <row r="4417" spans="1:4" ht="12.95" customHeight="1" x14ac:dyDescent="0.25">
      <c r="A4417" s="2" t="s">
        <v>685</v>
      </c>
      <c r="B4417" s="2" t="s">
        <v>1154</v>
      </c>
      <c r="C4417" s="5" t="s">
        <v>982</v>
      </c>
      <c r="D4417" s="2" t="s">
        <v>983</v>
      </c>
    </row>
    <row r="4418" spans="1:4" ht="12.95" customHeight="1" x14ac:dyDescent="0.25">
      <c r="A4418" s="2" t="s">
        <v>685</v>
      </c>
      <c r="B4418" s="2" t="s">
        <v>1154</v>
      </c>
      <c r="C4418" s="5" t="s">
        <v>984</v>
      </c>
      <c r="D4418" s="2" t="s">
        <v>853</v>
      </c>
    </row>
    <row r="4419" spans="1:4" ht="12.95" customHeight="1" x14ac:dyDescent="0.25">
      <c r="A4419" s="2" t="s">
        <v>685</v>
      </c>
      <c r="B4419" s="2" t="s">
        <v>1154</v>
      </c>
      <c r="C4419" s="5" t="s">
        <v>986</v>
      </c>
      <c r="D4419" s="2" t="s">
        <v>6076</v>
      </c>
    </row>
    <row r="4420" spans="1:4" ht="12.95" customHeight="1" x14ac:dyDescent="0.25">
      <c r="A4420" s="2" t="s">
        <v>685</v>
      </c>
      <c r="B4420" s="2" t="s">
        <v>1154</v>
      </c>
      <c r="C4420" s="5" t="s">
        <v>988</v>
      </c>
      <c r="D4420" s="2" t="s">
        <v>6056</v>
      </c>
    </row>
    <row r="4421" spans="1:4" ht="12.95" customHeight="1" x14ac:dyDescent="0.25">
      <c r="A4421" s="2" t="s">
        <v>685</v>
      </c>
      <c r="B4421" s="2" t="s">
        <v>1154</v>
      </c>
      <c r="C4421" s="5" t="s">
        <v>990</v>
      </c>
      <c r="D4421" s="2" t="s">
        <v>6057</v>
      </c>
    </row>
    <row r="4422" spans="1:4" ht="12.95" customHeight="1" x14ac:dyDescent="0.25">
      <c r="A4422" s="2" t="s">
        <v>685</v>
      </c>
      <c r="B4422" s="2" t="s">
        <v>1154</v>
      </c>
      <c r="C4422" s="5" t="s">
        <v>992</v>
      </c>
      <c r="D4422" s="2" t="s">
        <v>6077</v>
      </c>
    </row>
    <row r="4423" spans="1:4" ht="12.95" customHeight="1" x14ac:dyDescent="0.25">
      <c r="A4423" s="2" t="s">
        <v>685</v>
      </c>
      <c r="B4423" s="2" t="s">
        <v>1154</v>
      </c>
      <c r="C4423" s="5" t="s">
        <v>994</v>
      </c>
      <c r="D4423" s="2" t="s">
        <v>6078</v>
      </c>
    </row>
    <row r="4424" spans="1:4" ht="12.95" customHeight="1" x14ac:dyDescent="0.25">
      <c r="A4424" s="2" t="s">
        <v>685</v>
      </c>
      <c r="B4424" s="2" t="s">
        <v>1154</v>
      </c>
      <c r="C4424" s="5" t="s">
        <v>1003</v>
      </c>
      <c r="D4424" s="2" t="s">
        <v>6079</v>
      </c>
    </row>
    <row r="4425" spans="1:4" ht="12.95" customHeight="1" x14ac:dyDescent="0.25">
      <c r="A4425" s="2" t="s">
        <v>685</v>
      </c>
      <c r="B4425" s="2" t="s">
        <v>1154</v>
      </c>
      <c r="C4425" s="5" t="s">
        <v>1013</v>
      </c>
      <c r="D4425" s="2" t="s">
        <v>6080</v>
      </c>
    </row>
    <row r="4426" spans="1:4" ht="12.95" customHeight="1" x14ac:dyDescent="0.25">
      <c r="A4426" s="2" t="s">
        <v>685</v>
      </c>
      <c r="B4426" s="2" t="s">
        <v>1154</v>
      </c>
      <c r="C4426" s="5" t="s">
        <v>1015</v>
      </c>
      <c r="D4426" s="2" t="s">
        <v>6081</v>
      </c>
    </row>
    <row r="4427" spans="1:4" ht="12.95" customHeight="1" x14ac:dyDescent="0.25">
      <c r="A4427" s="2" t="s">
        <v>685</v>
      </c>
      <c r="B4427" s="2" t="s">
        <v>1154</v>
      </c>
      <c r="C4427" s="5" t="s">
        <v>1017</v>
      </c>
      <c r="D4427" s="2" t="s">
        <v>6082</v>
      </c>
    </row>
    <row r="4428" spans="1:4" ht="12.95" customHeight="1" x14ac:dyDescent="0.25">
      <c r="A4428" s="2" t="s">
        <v>685</v>
      </c>
      <c r="B4428" s="2" t="s">
        <v>1154</v>
      </c>
      <c r="C4428" s="5" t="s">
        <v>1019</v>
      </c>
      <c r="D4428" s="2" t="s">
        <v>6083</v>
      </c>
    </row>
    <row r="4429" spans="1:4" ht="12.95" customHeight="1" x14ac:dyDescent="0.25">
      <c r="A4429" s="2" t="s">
        <v>685</v>
      </c>
      <c r="B4429" s="2" t="s">
        <v>1154</v>
      </c>
      <c r="C4429" s="5" t="s">
        <v>1021</v>
      </c>
      <c r="D4429" s="2" t="s">
        <v>6064</v>
      </c>
    </row>
    <row r="4430" spans="1:4" ht="12.95" customHeight="1" x14ac:dyDescent="0.25">
      <c r="A4430" s="2" t="s">
        <v>685</v>
      </c>
      <c r="B4430" s="2" t="s">
        <v>1154</v>
      </c>
      <c r="C4430" s="5" t="s">
        <v>1023</v>
      </c>
      <c r="D4430" s="2" t="s">
        <v>6084</v>
      </c>
    </row>
    <row r="4431" spans="1:4" ht="12.95" customHeight="1" x14ac:dyDescent="0.25">
      <c r="A4431" s="2" t="s">
        <v>685</v>
      </c>
      <c r="B4431" s="2" t="s">
        <v>1154</v>
      </c>
      <c r="C4431" s="5" t="s">
        <v>1025</v>
      </c>
      <c r="D4431" s="2" t="s">
        <v>6066</v>
      </c>
    </row>
    <row r="4432" spans="1:4" ht="12.95" customHeight="1" x14ac:dyDescent="0.25">
      <c r="A4432" s="2" t="s">
        <v>685</v>
      </c>
      <c r="B4432" s="2" t="s">
        <v>1154</v>
      </c>
      <c r="C4432" s="5" t="s">
        <v>1027</v>
      </c>
      <c r="D4432" s="2" t="s">
        <v>6067</v>
      </c>
    </row>
    <row r="4433" spans="1:4" ht="12.95" customHeight="1" x14ac:dyDescent="0.25">
      <c r="A4433" s="2" t="s">
        <v>685</v>
      </c>
      <c r="B4433" s="2" t="s">
        <v>1154</v>
      </c>
      <c r="C4433" s="5" t="s">
        <v>1029</v>
      </c>
      <c r="D4433" s="2" t="s">
        <v>6085</v>
      </c>
    </row>
    <row r="4434" spans="1:4" ht="12.95" customHeight="1" x14ac:dyDescent="0.25">
      <c r="A4434" s="2" t="s">
        <v>685</v>
      </c>
      <c r="B4434" s="2" t="s">
        <v>1154</v>
      </c>
      <c r="C4434" s="5" t="s">
        <v>1031</v>
      </c>
      <c r="D4434" s="2" t="s">
        <v>6086</v>
      </c>
    </row>
    <row r="4435" spans="1:4" ht="12.95" customHeight="1" x14ac:dyDescent="0.25">
      <c r="A4435" s="2" t="s">
        <v>685</v>
      </c>
      <c r="B4435" s="2" t="s">
        <v>1154</v>
      </c>
      <c r="C4435" s="5" t="s">
        <v>1033</v>
      </c>
      <c r="D4435" s="2" t="s">
        <v>1000</v>
      </c>
    </row>
    <row r="4436" spans="1:4" ht="12.95" customHeight="1" x14ac:dyDescent="0.25">
      <c r="A4436" s="2" t="s">
        <v>685</v>
      </c>
      <c r="B4436" s="2" t="s">
        <v>1154</v>
      </c>
      <c r="C4436" s="5" t="s">
        <v>1035</v>
      </c>
      <c r="D4436" s="2" t="s">
        <v>6087</v>
      </c>
    </row>
    <row r="4437" spans="1:4" ht="12.95" customHeight="1" x14ac:dyDescent="0.25">
      <c r="A4437" s="2" t="s">
        <v>685</v>
      </c>
      <c r="B4437" s="2" t="s">
        <v>1154</v>
      </c>
      <c r="C4437" s="5" t="s">
        <v>1177</v>
      </c>
      <c r="D4437" s="2" t="s">
        <v>6071</v>
      </c>
    </row>
    <row r="4438" spans="1:4" ht="12.95" customHeight="1" x14ac:dyDescent="0.25">
      <c r="A4438" s="2" t="s">
        <v>685</v>
      </c>
      <c r="B4438" s="2" t="s">
        <v>1154</v>
      </c>
      <c r="C4438" s="5" t="s">
        <v>1005</v>
      </c>
      <c r="D4438" s="2" t="s">
        <v>6088</v>
      </c>
    </row>
    <row r="4439" spans="1:4" ht="12.95" customHeight="1" x14ac:dyDescent="0.25">
      <c r="A4439" s="2" t="s">
        <v>687</v>
      </c>
      <c r="B4439" s="2" t="s">
        <v>1154</v>
      </c>
      <c r="C4439" s="5" t="s">
        <v>996</v>
      </c>
      <c r="D4439" s="2" t="s">
        <v>997</v>
      </c>
    </row>
    <row r="4440" spans="1:4" ht="12.95" customHeight="1" x14ac:dyDescent="0.25">
      <c r="A4440" s="2" t="s">
        <v>687</v>
      </c>
      <c r="B4440" s="2" t="s">
        <v>1154</v>
      </c>
      <c r="C4440" s="5" t="s">
        <v>978</v>
      </c>
      <c r="D4440" s="2" t="s">
        <v>1047</v>
      </c>
    </row>
    <row r="4441" spans="1:4" ht="12.95" customHeight="1" x14ac:dyDescent="0.25">
      <c r="A4441" s="2" t="s">
        <v>687</v>
      </c>
      <c r="B4441" s="2" t="s">
        <v>1154</v>
      </c>
      <c r="C4441" s="5" t="s">
        <v>980</v>
      </c>
      <c r="D4441" s="2" t="s">
        <v>1041</v>
      </c>
    </row>
    <row r="4442" spans="1:4" ht="12.95" customHeight="1" x14ac:dyDescent="0.25">
      <c r="A4442" s="2" t="s">
        <v>687</v>
      </c>
      <c r="B4442" s="2" t="s">
        <v>1154</v>
      </c>
      <c r="C4442" s="5" t="s">
        <v>982</v>
      </c>
      <c r="D4442" s="2" t="s">
        <v>983</v>
      </c>
    </row>
    <row r="4443" spans="1:4" ht="12.95" customHeight="1" x14ac:dyDescent="0.25">
      <c r="A4443" s="2" t="s">
        <v>687</v>
      </c>
      <c r="B4443" s="2" t="s">
        <v>1154</v>
      </c>
      <c r="C4443" s="5" t="s">
        <v>984</v>
      </c>
      <c r="D4443" s="2" t="s">
        <v>853</v>
      </c>
    </row>
    <row r="4444" spans="1:4" ht="12.95" customHeight="1" x14ac:dyDescent="0.25">
      <c r="A4444" s="2" t="s">
        <v>687</v>
      </c>
      <c r="B4444" s="2" t="s">
        <v>1154</v>
      </c>
      <c r="C4444" s="5" t="s">
        <v>986</v>
      </c>
      <c r="D4444" s="2" t="s">
        <v>6076</v>
      </c>
    </row>
    <row r="4445" spans="1:4" ht="12.95" customHeight="1" x14ac:dyDescent="0.25">
      <c r="A4445" s="2" t="s">
        <v>687</v>
      </c>
      <c r="B4445" s="2" t="s">
        <v>1154</v>
      </c>
      <c r="C4445" s="5" t="s">
        <v>988</v>
      </c>
      <c r="D4445" s="2" t="s">
        <v>6056</v>
      </c>
    </row>
    <row r="4446" spans="1:4" ht="12.95" customHeight="1" x14ac:dyDescent="0.25">
      <c r="A4446" s="2" t="s">
        <v>687</v>
      </c>
      <c r="B4446" s="2" t="s">
        <v>1154</v>
      </c>
      <c r="C4446" s="5" t="s">
        <v>990</v>
      </c>
      <c r="D4446" s="2" t="s">
        <v>6057</v>
      </c>
    </row>
    <row r="4447" spans="1:4" ht="12.95" customHeight="1" x14ac:dyDescent="0.25">
      <c r="A4447" s="2" t="s">
        <v>687</v>
      </c>
      <c r="B4447" s="2" t="s">
        <v>1154</v>
      </c>
      <c r="C4447" s="5" t="s">
        <v>992</v>
      </c>
      <c r="D4447" s="2" t="s">
        <v>6077</v>
      </c>
    </row>
    <row r="4448" spans="1:4" ht="12.95" customHeight="1" x14ac:dyDescent="0.25">
      <c r="A4448" s="2" t="s">
        <v>687</v>
      </c>
      <c r="B4448" s="2" t="s">
        <v>1154</v>
      </c>
      <c r="C4448" s="5" t="s">
        <v>994</v>
      </c>
      <c r="D4448" s="2" t="s">
        <v>6078</v>
      </c>
    </row>
    <row r="4449" spans="1:4" ht="12.95" customHeight="1" x14ac:dyDescent="0.25">
      <c r="A4449" s="2" t="s">
        <v>687</v>
      </c>
      <c r="B4449" s="2" t="s">
        <v>1154</v>
      </c>
      <c r="C4449" s="5" t="s">
        <v>1003</v>
      </c>
      <c r="D4449" s="2" t="s">
        <v>6079</v>
      </c>
    </row>
    <row r="4450" spans="1:4" ht="12.95" customHeight="1" x14ac:dyDescent="0.25">
      <c r="A4450" s="2" t="s">
        <v>687</v>
      </c>
      <c r="B4450" s="2" t="s">
        <v>1154</v>
      </c>
      <c r="C4450" s="5" t="s">
        <v>1013</v>
      </c>
      <c r="D4450" s="2" t="s">
        <v>6080</v>
      </c>
    </row>
    <row r="4451" spans="1:4" ht="12.95" customHeight="1" x14ac:dyDescent="0.25">
      <c r="A4451" s="2" t="s">
        <v>687</v>
      </c>
      <c r="B4451" s="2" t="s">
        <v>1154</v>
      </c>
      <c r="C4451" s="5" t="s">
        <v>1015</v>
      </c>
      <c r="D4451" s="2" t="s">
        <v>6081</v>
      </c>
    </row>
    <row r="4452" spans="1:4" ht="12.95" customHeight="1" x14ac:dyDescent="0.25">
      <c r="A4452" s="2" t="s">
        <v>687</v>
      </c>
      <c r="B4452" s="2" t="s">
        <v>1154</v>
      </c>
      <c r="C4452" s="5" t="s">
        <v>1017</v>
      </c>
      <c r="D4452" s="2" t="s">
        <v>6082</v>
      </c>
    </row>
    <row r="4453" spans="1:4" ht="12.95" customHeight="1" x14ac:dyDescent="0.25">
      <c r="A4453" s="2" t="s">
        <v>687</v>
      </c>
      <c r="B4453" s="2" t="s">
        <v>1154</v>
      </c>
      <c r="C4453" s="5" t="s">
        <v>1019</v>
      </c>
      <c r="D4453" s="2" t="s">
        <v>6083</v>
      </c>
    </row>
    <row r="4454" spans="1:4" ht="12.95" customHeight="1" x14ac:dyDescent="0.25">
      <c r="A4454" s="2" t="s">
        <v>687</v>
      </c>
      <c r="B4454" s="2" t="s">
        <v>1154</v>
      </c>
      <c r="C4454" s="5" t="s">
        <v>1021</v>
      </c>
      <c r="D4454" s="2" t="s">
        <v>6064</v>
      </c>
    </row>
    <row r="4455" spans="1:4" ht="12.95" customHeight="1" x14ac:dyDescent="0.25">
      <c r="A4455" s="2" t="s">
        <v>687</v>
      </c>
      <c r="B4455" s="2" t="s">
        <v>1154</v>
      </c>
      <c r="C4455" s="5" t="s">
        <v>1023</v>
      </c>
      <c r="D4455" s="2" t="s">
        <v>6084</v>
      </c>
    </row>
    <row r="4456" spans="1:4" ht="12.95" customHeight="1" x14ac:dyDescent="0.25">
      <c r="A4456" s="2" t="s">
        <v>687</v>
      </c>
      <c r="B4456" s="2" t="s">
        <v>1154</v>
      </c>
      <c r="C4456" s="5" t="s">
        <v>1025</v>
      </c>
      <c r="D4456" s="2" t="s">
        <v>6066</v>
      </c>
    </row>
    <row r="4457" spans="1:4" ht="12.95" customHeight="1" x14ac:dyDescent="0.25">
      <c r="A4457" s="2" t="s">
        <v>687</v>
      </c>
      <c r="B4457" s="2" t="s">
        <v>1154</v>
      </c>
      <c r="C4457" s="5" t="s">
        <v>1027</v>
      </c>
      <c r="D4457" s="2" t="s">
        <v>6067</v>
      </c>
    </row>
    <row r="4458" spans="1:4" ht="12.95" customHeight="1" x14ac:dyDescent="0.25">
      <c r="A4458" s="2" t="s">
        <v>687</v>
      </c>
      <c r="B4458" s="2" t="s">
        <v>1154</v>
      </c>
      <c r="C4458" s="5" t="s">
        <v>1029</v>
      </c>
      <c r="D4458" s="2" t="s">
        <v>6085</v>
      </c>
    </row>
    <row r="4459" spans="1:4" ht="12.95" customHeight="1" x14ac:dyDescent="0.25">
      <c r="A4459" s="2" t="s">
        <v>687</v>
      </c>
      <c r="B4459" s="2" t="s">
        <v>1154</v>
      </c>
      <c r="C4459" s="5" t="s">
        <v>1031</v>
      </c>
      <c r="D4459" s="2" t="s">
        <v>6086</v>
      </c>
    </row>
    <row r="4460" spans="1:4" ht="12.95" customHeight="1" x14ac:dyDescent="0.25">
      <c r="A4460" s="2" t="s">
        <v>687</v>
      </c>
      <c r="B4460" s="2" t="s">
        <v>1154</v>
      </c>
      <c r="C4460" s="5" t="s">
        <v>1033</v>
      </c>
      <c r="D4460" s="2" t="s">
        <v>1000</v>
      </c>
    </row>
    <row r="4461" spans="1:4" ht="12.95" customHeight="1" x14ac:dyDescent="0.25">
      <c r="A4461" s="2" t="s">
        <v>687</v>
      </c>
      <c r="B4461" s="2" t="s">
        <v>1154</v>
      </c>
      <c r="C4461" s="5" t="s">
        <v>1035</v>
      </c>
      <c r="D4461" s="2" t="s">
        <v>6087</v>
      </c>
    </row>
    <row r="4462" spans="1:4" ht="12.95" customHeight="1" x14ac:dyDescent="0.25">
      <c r="A4462" s="2" t="s">
        <v>687</v>
      </c>
      <c r="B4462" s="2" t="s">
        <v>1154</v>
      </c>
      <c r="C4462" s="5" t="s">
        <v>1177</v>
      </c>
      <c r="D4462" s="2" t="s">
        <v>6071</v>
      </c>
    </row>
    <row r="4463" spans="1:4" ht="12.95" customHeight="1" x14ac:dyDescent="0.25">
      <c r="A4463" s="2" t="s">
        <v>687</v>
      </c>
      <c r="B4463" s="2" t="s">
        <v>1154</v>
      </c>
      <c r="C4463" s="5" t="s">
        <v>1005</v>
      </c>
      <c r="D4463" s="2" t="s">
        <v>6088</v>
      </c>
    </row>
    <row r="4464" spans="1:4" ht="12.95" customHeight="1" x14ac:dyDescent="0.25">
      <c r="A4464" s="2" t="s">
        <v>689</v>
      </c>
      <c r="B4464" s="2" t="s">
        <v>1154</v>
      </c>
      <c r="C4464" s="5" t="s">
        <v>996</v>
      </c>
      <c r="D4464" s="2" t="s">
        <v>997</v>
      </c>
    </row>
    <row r="4465" spans="1:4" ht="12.95" customHeight="1" x14ac:dyDescent="0.25">
      <c r="A4465" s="2" t="s">
        <v>689</v>
      </c>
      <c r="B4465" s="2" t="s">
        <v>1154</v>
      </c>
      <c r="C4465" s="5" t="s">
        <v>978</v>
      </c>
      <c r="D4465" s="2" t="s">
        <v>1047</v>
      </c>
    </row>
    <row r="4466" spans="1:4" ht="12.95" customHeight="1" x14ac:dyDescent="0.25">
      <c r="A4466" s="2" t="s">
        <v>689</v>
      </c>
      <c r="B4466" s="2" t="s">
        <v>1154</v>
      </c>
      <c r="C4466" s="5" t="s">
        <v>980</v>
      </c>
      <c r="D4466" s="2" t="s">
        <v>1041</v>
      </c>
    </row>
    <row r="4467" spans="1:4" ht="12.95" customHeight="1" x14ac:dyDescent="0.25">
      <c r="A4467" s="2" t="s">
        <v>689</v>
      </c>
      <c r="B4467" s="2" t="s">
        <v>1154</v>
      </c>
      <c r="C4467" s="5" t="s">
        <v>982</v>
      </c>
      <c r="D4467" s="2" t="s">
        <v>983</v>
      </c>
    </row>
    <row r="4468" spans="1:4" ht="12.95" customHeight="1" x14ac:dyDescent="0.25">
      <c r="A4468" s="2" t="s">
        <v>689</v>
      </c>
      <c r="B4468" s="2" t="s">
        <v>1154</v>
      </c>
      <c r="C4468" s="5" t="s">
        <v>984</v>
      </c>
      <c r="D4468" s="2" t="s">
        <v>853</v>
      </c>
    </row>
    <row r="4469" spans="1:4" ht="12.95" customHeight="1" x14ac:dyDescent="0.25">
      <c r="A4469" s="2" t="s">
        <v>689</v>
      </c>
      <c r="B4469" s="2" t="s">
        <v>1154</v>
      </c>
      <c r="C4469" s="5" t="s">
        <v>986</v>
      </c>
      <c r="D4469" s="2" t="s">
        <v>6076</v>
      </c>
    </row>
    <row r="4470" spans="1:4" ht="12.95" customHeight="1" x14ac:dyDescent="0.25">
      <c r="A4470" s="2" t="s">
        <v>689</v>
      </c>
      <c r="B4470" s="2" t="s">
        <v>1154</v>
      </c>
      <c r="C4470" s="5" t="s">
        <v>988</v>
      </c>
      <c r="D4470" s="2" t="s">
        <v>6056</v>
      </c>
    </row>
    <row r="4471" spans="1:4" ht="12.95" customHeight="1" x14ac:dyDescent="0.25">
      <c r="A4471" s="2" t="s">
        <v>689</v>
      </c>
      <c r="B4471" s="2" t="s">
        <v>1154</v>
      </c>
      <c r="C4471" s="5" t="s">
        <v>990</v>
      </c>
      <c r="D4471" s="2" t="s">
        <v>6057</v>
      </c>
    </row>
    <row r="4472" spans="1:4" ht="12.95" customHeight="1" x14ac:dyDescent="0.25">
      <c r="A4472" s="2" t="s">
        <v>689</v>
      </c>
      <c r="B4472" s="2" t="s">
        <v>1154</v>
      </c>
      <c r="C4472" s="5" t="s">
        <v>992</v>
      </c>
      <c r="D4472" s="2" t="s">
        <v>6077</v>
      </c>
    </row>
    <row r="4473" spans="1:4" ht="12.95" customHeight="1" x14ac:dyDescent="0.25">
      <c r="A4473" s="2" t="s">
        <v>689</v>
      </c>
      <c r="B4473" s="2" t="s">
        <v>1154</v>
      </c>
      <c r="C4473" s="5" t="s">
        <v>994</v>
      </c>
      <c r="D4473" s="2" t="s">
        <v>6078</v>
      </c>
    </row>
    <row r="4474" spans="1:4" ht="12.95" customHeight="1" x14ac:dyDescent="0.25">
      <c r="A4474" s="2" t="s">
        <v>689</v>
      </c>
      <c r="B4474" s="2" t="s">
        <v>1154</v>
      </c>
      <c r="C4474" s="5" t="s">
        <v>1003</v>
      </c>
      <c r="D4474" s="2" t="s">
        <v>6079</v>
      </c>
    </row>
    <row r="4475" spans="1:4" ht="12.95" customHeight="1" x14ac:dyDescent="0.25">
      <c r="A4475" s="2" t="s">
        <v>689</v>
      </c>
      <c r="B4475" s="2" t="s">
        <v>1154</v>
      </c>
      <c r="C4475" s="5" t="s">
        <v>1013</v>
      </c>
      <c r="D4475" s="2" t="s">
        <v>6080</v>
      </c>
    </row>
    <row r="4476" spans="1:4" ht="12.95" customHeight="1" x14ac:dyDescent="0.25">
      <c r="A4476" s="2" t="s">
        <v>689</v>
      </c>
      <c r="B4476" s="2" t="s">
        <v>1154</v>
      </c>
      <c r="C4476" s="5" t="s">
        <v>1015</v>
      </c>
      <c r="D4476" s="2" t="s">
        <v>6081</v>
      </c>
    </row>
    <row r="4477" spans="1:4" ht="12.95" customHeight="1" x14ac:dyDescent="0.25">
      <c r="A4477" s="2" t="s">
        <v>689</v>
      </c>
      <c r="B4477" s="2" t="s">
        <v>1154</v>
      </c>
      <c r="C4477" s="5" t="s">
        <v>1017</v>
      </c>
      <c r="D4477" s="2" t="s">
        <v>6082</v>
      </c>
    </row>
    <row r="4478" spans="1:4" ht="12.95" customHeight="1" x14ac:dyDescent="0.25">
      <c r="A4478" s="2" t="s">
        <v>689</v>
      </c>
      <c r="B4478" s="2" t="s">
        <v>1154</v>
      </c>
      <c r="C4478" s="5" t="s">
        <v>1019</v>
      </c>
      <c r="D4478" s="2" t="s">
        <v>6083</v>
      </c>
    </row>
    <row r="4479" spans="1:4" ht="12.95" customHeight="1" x14ac:dyDescent="0.25">
      <c r="A4479" s="2" t="s">
        <v>689</v>
      </c>
      <c r="B4479" s="2" t="s">
        <v>1154</v>
      </c>
      <c r="C4479" s="5" t="s">
        <v>1021</v>
      </c>
      <c r="D4479" s="2" t="s">
        <v>6064</v>
      </c>
    </row>
    <row r="4480" spans="1:4" ht="12.95" customHeight="1" x14ac:dyDescent="0.25">
      <c r="A4480" s="2" t="s">
        <v>689</v>
      </c>
      <c r="B4480" s="2" t="s">
        <v>1154</v>
      </c>
      <c r="C4480" s="5" t="s">
        <v>1023</v>
      </c>
      <c r="D4480" s="2" t="s">
        <v>6084</v>
      </c>
    </row>
    <row r="4481" spans="1:4" ht="12.95" customHeight="1" x14ac:dyDescent="0.25">
      <c r="A4481" s="2" t="s">
        <v>689</v>
      </c>
      <c r="B4481" s="2" t="s">
        <v>1154</v>
      </c>
      <c r="C4481" s="5" t="s">
        <v>1025</v>
      </c>
      <c r="D4481" s="2" t="s">
        <v>6066</v>
      </c>
    </row>
    <row r="4482" spans="1:4" ht="12.95" customHeight="1" x14ac:dyDescent="0.25">
      <c r="A4482" s="2" t="s">
        <v>689</v>
      </c>
      <c r="B4482" s="2" t="s">
        <v>1154</v>
      </c>
      <c r="C4482" s="5" t="s">
        <v>1027</v>
      </c>
      <c r="D4482" s="2" t="s">
        <v>6067</v>
      </c>
    </row>
    <row r="4483" spans="1:4" ht="12.95" customHeight="1" x14ac:dyDescent="0.25">
      <c r="A4483" s="2" t="s">
        <v>689</v>
      </c>
      <c r="B4483" s="2" t="s">
        <v>1154</v>
      </c>
      <c r="C4483" s="5" t="s">
        <v>1029</v>
      </c>
      <c r="D4483" s="2" t="s">
        <v>6085</v>
      </c>
    </row>
    <row r="4484" spans="1:4" ht="12.95" customHeight="1" x14ac:dyDescent="0.25">
      <c r="A4484" s="2" t="s">
        <v>689</v>
      </c>
      <c r="B4484" s="2" t="s">
        <v>1154</v>
      </c>
      <c r="C4484" s="5" t="s">
        <v>1031</v>
      </c>
      <c r="D4484" s="2" t="s">
        <v>6086</v>
      </c>
    </row>
    <row r="4485" spans="1:4" ht="12.95" customHeight="1" x14ac:dyDescent="0.25">
      <c r="A4485" s="2" t="s">
        <v>689</v>
      </c>
      <c r="B4485" s="2" t="s">
        <v>1154</v>
      </c>
      <c r="C4485" s="5" t="s">
        <v>1033</v>
      </c>
      <c r="D4485" s="2" t="s">
        <v>1000</v>
      </c>
    </row>
    <row r="4486" spans="1:4" ht="12.95" customHeight="1" x14ac:dyDescent="0.25">
      <c r="A4486" s="2" t="s">
        <v>689</v>
      </c>
      <c r="B4486" s="2" t="s">
        <v>1154</v>
      </c>
      <c r="C4486" s="5" t="s">
        <v>1035</v>
      </c>
      <c r="D4486" s="2" t="s">
        <v>6087</v>
      </c>
    </row>
    <row r="4487" spans="1:4" ht="12.95" customHeight="1" x14ac:dyDescent="0.25">
      <c r="A4487" s="2" t="s">
        <v>689</v>
      </c>
      <c r="B4487" s="2" t="s">
        <v>1154</v>
      </c>
      <c r="C4487" s="5" t="s">
        <v>1177</v>
      </c>
      <c r="D4487" s="2" t="s">
        <v>6071</v>
      </c>
    </row>
    <row r="4488" spans="1:4" ht="12.95" customHeight="1" x14ac:dyDescent="0.25">
      <c r="A4488" s="2" t="s">
        <v>689</v>
      </c>
      <c r="B4488" s="2" t="s">
        <v>1154</v>
      </c>
      <c r="C4488" s="5" t="s">
        <v>1005</v>
      </c>
      <c r="D4488" s="2" t="s">
        <v>6088</v>
      </c>
    </row>
    <row r="4489" spans="1:4" ht="12.95" customHeight="1" x14ac:dyDescent="0.25">
      <c r="A4489" s="2" t="s">
        <v>691</v>
      </c>
      <c r="B4489" s="2" t="s">
        <v>1154</v>
      </c>
      <c r="C4489" s="5" t="s">
        <v>996</v>
      </c>
      <c r="D4489" s="2" t="s">
        <v>997</v>
      </c>
    </row>
    <row r="4490" spans="1:4" ht="12.95" customHeight="1" x14ac:dyDescent="0.25">
      <c r="A4490" s="2" t="s">
        <v>691</v>
      </c>
      <c r="B4490" s="2" t="s">
        <v>1154</v>
      </c>
      <c r="C4490" s="5" t="s">
        <v>978</v>
      </c>
      <c r="D4490" s="2" t="s">
        <v>1047</v>
      </c>
    </row>
    <row r="4491" spans="1:4" ht="12.95" customHeight="1" x14ac:dyDescent="0.25">
      <c r="A4491" s="2" t="s">
        <v>691</v>
      </c>
      <c r="B4491" s="2" t="s">
        <v>1154</v>
      </c>
      <c r="C4491" s="5" t="s">
        <v>980</v>
      </c>
      <c r="D4491" s="2" t="s">
        <v>1041</v>
      </c>
    </row>
    <row r="4492" spans="1:4" ht="12.95" customHeight="1" x14ac:dyDescent="0.25">
      <c r="A4492" s="2" t="s">
        <v>691</v>
      </c>
      <c r="B4492" s="2" t="s">
        <v>1154</v>
      </c>
      <c r="C4492" s="5" t="s">
        <v>982</v>
      </c>
      <c r="D4492" s="2" t="s">
        <v>983</v>
      </c>
    </row>
    <row r="4493" spans="1:4" ht="12.95" customHeight="1" x14ac:dyDescent="0.25">
      <c r="A4493" s="2" t="s">
        <v>691</v>
      </c>
      <c r="B4493" s="2" t="s">
        <v>1154</v>
      </c>
      <c r="C4493" s="5" t="s">
        <v>984</v>
      </c>
      <c r="D4493" s="2" t="s">
        <v>853</v>
      </c>
    </row>
    <row r="4494" spans="1:4" ht="12.95" customHeight="1" x14ac:dyDescent="0.25">
      <c r="A4494" s="2" t="s">
        <v>691</v>
      </c>
      <c r="B4494" s="2" t="s">
        <v>1154</v>
      </c>
      <c r="C4494" s="5" t="s">
        <v>986</v>
      </c>
      <c r="D4494" s="2" t="s">
        <v>6076</v>
      </c>
    </row>
    <row r="4495" spans="1:4" ht="12.95" customHeight="1" x14ac:dyDescent="0.25">
      <c r="A4495" s="2" t="s">
        <v>691</v>
      </c>
      <c r="B4495" s="2" t="s">
        <v>1154</v>
      </c>
      <c r="C4495" s="5" t="s">
        <v>988</v>
      </c>
      <c r="D4495" s="2" t="s">
        <v>6056</v>
      </c>
    </row>
    <row r="4496" spans="1:4" ht="12.95" customHeight="1" x14ac:dyDescent="0.25">
      <c r="A4496" s="2" t="s">
        <v>691</v>
      </c>
      <c r="B4496" s="2" t="s">
        <v>1154</v>
      </c>
      <c r="C4496" s="5" t="s">
        <v>990</v>
      </c>
      <c r="D4496" s="2" t="s">
        <v>6057</v>
      </c>
    </row>
    <row r="4497" spans="1:4" ht="12.95" customHeight="1" x14ac:dyDescent="0.25">
      <c r="A4497" s="2" t="s">
        <v>691</v>
      </c>
      <c r="B4497" s="2" t="s">
        <v>1154</v>
      </c>
      <c r="C4497" s="5" t="s">
        <v>992</v>
      </c>
      <c r="D4497" s="2" t="s">
        <v>6077</v>
      </c>
    </row>
    <row r="4498" spans="1:4" ht="12.95" customHeight="1" x14ac:dyDescent="0.25">
      <c r="A4498" s="2" t="s">
        <v>691</v>
      </c>
      <c r="B4498" s="2" t="s">
        <v>1154</v>
      </c>
      <c r="C4498" s="5" t="s">
        <v>994</v>
      </c>
      <c r="D4498" s="2" t="s">
        <v>6078</v>
      </c>
    </row>
    <row r="4499" spans="1:4" ht="12.95" customHeight="1" x14ac:dyDescent="0.25">
      <c r="A4499" s="2" t="s">
        <v>691</v>
      </c>
      <c r="B4499" s="2" t="s">
        <v>1154</v>
      </c>
      <c r="C4499" s="5" t="s">
        <v>1003</v>
      </c>
      <c r="D4499" s="2" t="s">
        <v>6079</v>
      </c>
    </row>
    <row r="4500" spans="1:4" ht="12.95" customHeight="1" x14ac:dyDescent="0.25">
      <c r="A4500" s="2" t="s">
        <v>691</v>
      </c>
      <c r="B4500" s="2" t="s">
        <v>1154</v>
      </c>
      <c r="C4500" s="5" t="s">
        <v>1013</v>
      </c>
      <c r="D4500" s="2" t="s">
        <v>6080</v>
      </c>
    </row>
    <row r="4501" spans="1:4" ht="12.95" customHeight="1" x14ac:dyDescent="0.25">
      <c r="A4501" s="2" t="s">
        <v>691</v>
      </c>
      <c r="B4501" s="2" t="s">
        <v>1154</v>
      </c>
      <c r="C4501" s="5" t="s">
        <v>1015</v>
      </c>
      <c r="D4501" s="2" t="s">
        <v>6081</v>
      </c>
    </row>
    <row r="4502" spans="1:4" ht="12.95" customHeight="1" x14ac:dyDescent="0.25">
      <c r="A4502" s="2" t="s">
        <v>691</v>
      </c>
      <c r="B4502" s="2" t="s">
        <v>1154</v>
      </c>
      <c r="C4502" s="5" t="s">
        <v>1017</v>
      </c>
      <c r="D4502" s="2" t="s">
        <v>6082</v>
      </c>
    </row>
    <row r="4503" spans="1:4" ht="12.95" customHeight="1" x14ac:dyDescent="0.25">
      <c r="A4503" s="2" t="s">
        <v>691</v>
      </c>
      <c r="B4503" s="2" t="s">
        <v>1154</v>
      </c>
      <c r="C4503" s="5" t="s">
        <v>1019</v>
      </c>
      <c r="D4503" s="2" t="s">
        <v>6083</v>
      </c>
    </row>
    <row r="4504" spans="1:4" ht="12.95" customHeight="1" x14ac:dyDescent="0.25">
      <c r="A4504" s="2" t="s">
        <v>691</v>
      </c>
      <c r="B4504" s="2" t="s">
        <v>1154</v>
      </c>
      <c r="C4504" s="5" t="s">
        <v>1021</v>
      </c>
      <c r="D4504" s="2" t="s">
        <v>6064</v>
      </c>
    </row>
    <row r="4505" spans="1:4" ht="12.95" customHeight="1" x14ac:dyDescent="0.25">
      <c r="A4505" s="2" t="s">
        <v>691</v>
      </c>
      <c r="B4505" s="2" t="s">
        <v>1154</v>
      </c>
      <c r="C4505" s="5" t="s">
        <v>1023</v>
      </c>
      <c r="D4505" s="2" t="s">
        <v>6084</v>
      </c>
    </row>
    <row r="4506" spans="1:4" ht="12.95" customHeight="1" x14ac:dyDescent="0.25">
      <c r="A4506" s="2" t="s">
        <v>691</v>
      </c>
      <c r="B4506" s="2" t="s">
        <v>1154</v>
      </c>
      <c r="C4506" s="5" t="s">
        <v>1025</v>
      </c>
      <c r="D4506" s="2" t="s">
        <v>6066</v>
      </c>
    </row>
    <row r="4507" spans="1:4" ht="12.95" customHeight="1" x14ac:dyDescent="0.25">
      <c r="A4507" s="2" t="s">
        <v>691</v>
      </c>
      <c r="B4507" s="2" t="s">
        <v>1154</v>
      </c>
      <c r="C4507" s="5" t="s">
        <v>1027</v>
      </c>
      <c r="D4507" s="2" t="s">
        <v>6067</v>
      </c>
    </row>
    <row r="4508" spans="1:4" ht="12.95" customHeight="1" x14ac:dyDescent="0.25">
      <c r="A4508" s="2" t="s">
        <v>691</v>
      </c>
      <c r="B4508" s="2" t="s">
        <v>1154</v>
      </c>
      <c r="C4508" s="5" t="s">
        <v>1029</v>
      </c>
      <c r="D4508" s="2" t="s">
        <v>6085</v>
      </c>
    </row>
    <row r="4509" spans="1:4" ht="12.95" customHeight="1" x14ac:dyDescent="0.25">
      <c r="A4509" s="2" t="s">
        <v>691</v>
      </c>
      <c r="B4509" s="2" t="s">
        <v>1154</v>
      </c>
      <c r="C4509" s="5" t="s">
        <v>1031</v>
      </c>
      <c r="D4509" s="2" t="s">
        <v>6086</v>
      </c>
    </row>
    <row r="4510" spans="1:4" ht="12.95" customHeight="1" x14ac:dyDescent="0.25">
      <c r="A4510" s="2" t="s">
        <v>691</v>
      </c>
      <c r="B4510" s="2" t="s">
        <v>1154</v>
      </c>
      <c r="C4510" s="5" t="s">
        <v>1033</v>
      </c>
      <c r="D4510" s="2" t="s">
        <v>1000</v>
      </c>
    </row>
    <row r="4511" spans="1:4" ht="12.95" customHeight="1" x14ac:dyDescent="0.25">
      <c r="A4511" s="2" t="s">
        <v>691</v>
      </c>
      <c r="B4511" s="2" t="s">
        <v>1154</v>
      </c>
      <c r="C4511" s="5" t="s">
        <v>1035</v>
      </c>
      <c r="D4511" s="2" t="s">
        <v>6087</v>
      </c>
    </row>
    <row r="4512" spans="1:4" ht="12.95" customHeight="1" x14ac:dyDescent="0.25">
      <c r="A4512" s="2" t="s">
        <v>691</v>
      </c>
      <c r="B4512" s="2" t="s">
        <v>1154</v>
      </c>
      <c r="C4512" s="5" t="s">
        <v>1177</v>
      </c>
      <c r="D4512" s="2" t="s">
        <v>6071</v>
      </c>
    </row>
    <row r="4513" spans="1:4" ht="12.95" customHeight="1" x14ac:dyDescent="0.25">
      <c r="A4513" s="2" t="s">
        <v>691</v>
      </c>
      <c r="B4513" s="2" t="s">
        <v>1154</v>
      </c>
      <c r="C4513" s="5" t="s">
        <v>1005</v>
      </c>
      <c r="D4513" s="2" t="s">
        <v>6088</v>
      </c>
    </row>
    <row r="4514" spans="1:4" ht="12.95" customHeight="1" x14ac:dyDescent="0.25">
      <c r="A4514" s="2" t="s">
        <v>693</v>
      </c>
      <c r="B4514" s="2" t="s">
        <v>1154</v>
      </c>
      <c r="C4514" s="5" t="s">
        <v>996</v>
      </c>
      <c r="D4514" s="2" t="s">
        <v>997</v>
      </c>
    </row>
    <row r="4515" spans="1:4" ht="12.95" customHeight="1" x14ac:dyDescent="0.25">
      <c r="A4515" s="2" t="s">
        <v>693</v>
      </c>
      <c r="B4515" s="2" t="s">
        <v>1154</v>
      </c>
      <c r="C4515" s="5" t="s">
        <v>978</v>
      </c>
      <c r="D4515" s="2" t="s">
        <v>1047</v>
      </c>
    </row>
    <row r="4516" spans="1:4" ht="12.95" customHeight="1" x14ac:dyDescent="0.25">
      <c r="A4516" s="2" t="s">
        <v>693</v>
      </c>
      <c r="B4516" s="2" t="s">
        <v>1154</v>
      </c>
      <c r="C4516" s="5" t="s">
        <v>980</v>
      </c>
      <c r="D4516" s="2" t="s">
        <v>1041</v>
      </c>
    </row>
    <row r="4517" spans="1:4" ht="12.95" customHeight="1" x14ac:dyDescent="0.25">
      <c r="A4517" s="2" t="s">
        <v>693</v>
      </c>
      <c r="B4517" s="2" t="s">
        <v>1154</v>
      </c>
      <c r="C4517" s="5" t="s">
        <v>982</v>
      </c>
      <c r="D4517" s="2" t="s">
        <v>983</v>
      </c>
    </row>
    <row r="4518" spans="1:4" ht="12.95" customHeight="1" x14ac:dyDescent="0.25">
      <c r="A4518" s="2" t="s">
        <v>693</v>
      </c>
      <c r="B4518" s="2" t="s">
        <v>1154</v>
      </c>
      <c r="C4518" s="5" t="s">
        <v>984</v>
      </c>
      <c r="D4518" s="2" t="s">
        <v>853</v>
      </c>
    </row>
    <row r="4519" spans="1:4" ht="12.95" customHeight="1" x14ac:dyDescent="0.25">
      <c r="A4519" s="2" t="s">
        <v>693</v>
      </c>
      <c r="B4519" s="2" t="s">
        <v>1154</v>
      </c>
      <c r="C4519" s="5" t="s">
        <v>986</v>
      </c>
      <c r="D4519" s="2" t="s">
        <v>6076</v>
      </c>
    </row>
    <row r="4520" spans="1:4" ht="12.95" customHeight="1" x14ac:dyDescent="0.25">
      <c r="A4520" s="2" t="s">
        <v>693</v>
      </c>
      <c r="B4520" s="2" t="s">
        <v>1154</v>
      </c>
      <c r="C4520" s="5" t="s">
        <v>988</v>
      </c>
      <c r="D4520" s="2" t="s">
        <v>6056</v>
      </c>
    </row>
    <row r="4521" spans="1:4" ht="12.95" customHeight="1" x14ac:dyDescent="0.25">
      <c r="A4521" s="2" t="s">
        <v>693</v>
      </c>
      <c r="B4521" s="2" t="s">
        <v>1154</v>
      </c>
      <c r="C4521" s="5" t="s">
        <v>990</v>
      </c>
      <c r="D4521" s="2" t="s">
        <v>6057</v>
      </c>
    </row>
    <row r="4522" spans="1:4" ht="12.95" customHeight="1" x14ac:dyDescent="0.25">
      <c r="A4522" s="2" t="s">
        <v>693</v>
      </c>
      <c r="B4522" s="2" t="s">
        <v>1154</v>
      </c>
      <c r="C4522" s="5" t="s">
        <v>992</v>
      </c>
      <c r="D4522" s="2" t="s">
        <v>6077</v>
      </c>
    </row>
    <row r="4523" spans="1:4" ht="12.95" customHeight="1" x14ac:dyDescent="0.25">
      <c r="A4523" s="2" t="s">
        <v>693</v>
      </c>
      <c r="B4523" s="2" t="s">
        <v>1154</v>
      </c>
      <c r="C4523" s="5" t="s">
        <v>994</v>
      </c>
      <c r="D4523" s="2" t="s">
        <v>6078</v>
      </c>
    </row>
    <row r="4524" spans="1:4" ht="12.95" customHeight="1" x14ac:dyDescent="0.25">
      <c r="A4524" s="2" t="s">
        <v>693</v>
      </c>
      <c r="B4524" s="2" t="s">
        <v>1154</v>
      </c>
      <c r="C4524" s="5" t="s">
        <v>1003</v>
      </c>
      <c r="D4524" s="2" t="s">
        <v>6079</v>
      </c>
    </row>
    <row r="4525" spans="1:4" ht="12.95" customHeight="1" x14ac:dyDescent="0.25">
      <c r="A4525" s="2" t="s">
        <v>693</v>
      </c>
      <c r="B4525" s="2" t="s">
        <v>1154</v>
      </c>
      <c r="C4525" s="5" t="s">
        <v>1013</v>
      </c>
      <c r="D4525" s="2" t="s">
        <v>6080</v>
      </c>
    </row>
    <row r="4526" spans="1:4" ht="12.95" customHeight="1" x14ac:dyDescent="0.25">
      <c r="A4526" s="2" t="s">
        <v>693</v>
      </c>
      <c r="B4526" s="2" t="s">
        <v>1154</v>
      </c>
      <c r="C4526" s="5" t="s">
        <v>1015</v>
      </c>
      <c r="D4526" s="2" t="s">
        <v>6081</v>
      </c>
    </row>
    <row r="4527" spans="1:4" ht="12.95" customHeight="1" x14ac:dyDescent="0.25">
      <c r="A4527" s="2" t="s">
        <v>693</v>
      </c>
      <c r="B4527" s="2" t="s">
        <v>1154</v>
      </c>
      <c r="C4527" s="5" t="s">
        <v>1017</v>
      </c>
      <c r="D4527" s="2" t="s">
        <v>6082</v>
      </c>
    </row>
    <row r="4528" spans="1:4" ht="12.95" customHeight="1" x14ac:dyDescent="0.25">
      <c r="A4528" s="2" t="s">
        <v>693</v>
      </c>
      <c r="B4528" s="2" t="s">
        <v>1154</v>
      </c>
      <c r="C4528" s="5" t="s">
        <v>1019</v>
      </c>
      <c r="D4528" s="2" t="s">
        <v>6083</v>
      </c>
    </row>
    <row r="4529" spans="1:4" ht="12.95" customHeight="1" x14ac:dyDescent="0.25">
      <c r="A4529" s="2" t="s">
        <v>693</v>
      </c>
      <c r="B4529" s="2" t="s">
        <v>1154</v>
      </c>
      <c r="C4529" s="5" t="s">
        <v>1021</v>
      </c>
      <c r="D4529" s="2" t="s">
        <v>6064</v>
      </c>
    </row>
    <row r="4530" spans="1:4" ht="12.95" customHeight="1" x14ac:dyDescent="0.25">
      <c r="A4530" s="2" t="s">
        <v>693</v>
      </c>
      <c r="B4530" s="2" t="s">
        <v>1154</v>
      </c>
      <c r="C4530" s="5" t="s">
        <v>1023</v>
      </c>
      <c r="D4530" s="2" t="s">
        <v>6084</v>
      </c>
    </row>
    <row r="4531" spans="1:4" ht="12.95" customHeight="1" x14ac:dyDescent="0.25">
      <c r="A4531" s="2" t="s">
        <v>693</v>
      </c>
      <c r="B4531" s="2" t="s">
        <v>1154</v>
      </c>
      <c r="C4531" s="5" t="s">
        <v>1025</v>
      </c>
      <c r="D4531" s="2" t="s">
        <v>6066</v>
      </c>
    </row>
    <row r="4532" spans="1:4" ht="12.95" customHeight="1" x14ac:dyDescent="0.25">
      <c r="A4532" s="2" t="s">
        <v>693</v>
      </c>
      <c r="B4532" s="2" t="s">
        <v>1154</v>
      </c>
      <c r="C4532" s="5" t="s">
        <v>1027</v>
      </c>
      <c r="D4532" s="2" t="s">
        <v>6067</v>
      </c>
    </row>
    <row r="4533" spans="1:4" ht="12.95" customHeight="1" x14ac:dyDescent="0.25">
      <c r="A4533" s="2" t="s">
        <v>693</v>
      </c>
      <c r="B4533" s="2" t="s">
        <v>1154</v>
      </c>
      <c r="C4533" s="5" t="s">
        <v>1029</v>
      </c>
      <c r="D4533" s="2" t="s">
        <v>6085</v>
      </c>
    </row>
    <row r="4534" spans="1:4" ht="12.95" customHeight="1" x14ac:dyDescent="0.25">
      <c r="A4534" s="2" t="s">
        <v>693</v>
      </c>
      <c r="B4534" s="2" t="s">
        <v>1154</v>
      </c>
      <c r="C4534" s="5" t="s">
        <v>1031</v>
      </c>
      <c r="D4534" s="2" t="s">
        <v>6086</v>
      </c>
    </row>
    <row r="4535" spans="1:4" ht="12.95" customHeight="1" x14ac:dyDescent="0.25">
      <c r="A4535" s="2" t="s">
        <v>693</v>
      </c>
      <c r="B4535" s="2" t="s">
        <v>1154</v>
      </c>
      <c r="C4535" s="5" t="s">
        <v>1033</v>
      </c>
      <c r="D4535" s="2" t="s">
        <v>1000</v>
      </c>
    </row>
    <row r="4536" spans="1:4" ht="12.95" customHeight="1" x14ac:dyDescent="0.25">
      <c r="A4536" s="2" t="s">
        <v>693</v>
      </c>
      <c r="B4536" s="2" t="s">
        <v>1154</v>
      </c>
      <c r="C4536" s="5" t="s">
        <v>1035</v>
      </c>
      <c r="D4536" s="2" t="s">
        <v>6087</v>
      </c>
    </row>
    <row r="4537" spans="1:4" ht="12.95" customHeight="1" x14ac:dyDescent="0.25">
      <c r="A4537" s="2" t="s">
        <v>693</v>
      </c>
      <c r="B4537" s="2" t="s">
        <v>1154</v>
      </c>
      <c r="C4537" s="5" t="s">
        <v>1177</v>
      </c>
      <c r="D4537" s="2" t="s">
        <v>6071</v>
      </c>
    </row>
    <row r="4538" spans="1:4" ht="12.95" customHeight="1" x14ac:dyDescent="0.25">
      <c r="A4538" s="2" t="s">
        <v>693</v>
      </c>
      <c r="B4538" s="2" t="s">
        <v>1154</v>
      </c>
      <c r="C4538" s="5" t="s">
        <v>1005</v>
      </c>
      <c r="D4538" s="2" t="s">
        <v>6088</v>
      </c>
    </row>
    <row r="4539" spans="1:4" ht="12.95" customHeight="1" x14ac:dyDescent="0.25">
      <c r="A4539" s="2" t="s">
        <v>695</v>
      </c>
      <c r="B4539" s="2" t="s">
        <v>1154</v>
      </c>
      <c r="C4539" s="5" t="s">
        <v>996</v>
      </c>
      <c r="D4539" s="2" t="s">
        <v>997</v>
      </c>
    </row>
    <row r="4540" spans="1:4" ht="12.95" customHeight="1" x14ac:dyDescent="0.25">
      <c r="A4540" s="2" t="s">
        <v>695</v>
      </c>
      <c r="B4540" s="2" t="s">
        <v>1154</v>
      </c>
      <c r="C4540" s="5" t="s">
        <v>978</v>
      </c>
      <c r="D4540" s="2" t="s">
        <v>1047</v>
      </c>
    </row>
    <row r="4541" spans="1:4" ht="12.95" customHeight="1" x14ac:dyDescent="0.25">
      <c r="A4541" s="2" t="s">
        <v>695</v>
      </c>
      <c r="B4541" s="2" t="s">
        <v>1154</v>
      </c>
      <c r="C4541" s="5" t="s">
        <v>980</v>
      </c>
      <c r="D4541" s="2" t="s">
        <v>1041</v>
      </c>
    </row>
    <row r="4542" spans="1:4" ht="12.95" customHeight="1" x14ac:dyDescent="0.25">
      <c r="A4542" s="2" t="s">
        <v>695</v>
      </c>
      <c r="B4542" s="2" t="s">
        <v>1154</v>
      </c>
      <c r="C4542" s="5" t="s">
        <v>982</v>
      </c>
      <c r="D4542" s="2" t="s">
        <v>983</v>
      </c>
    </row>
    <row r="4543" spans="1:4" ht="12.95" customHeight="1" x14ac:dyDescent="0.25">
      <c r="A4543" s="2" t="s">
        <v>695</v>
      </c>
      <c r="B4543" s="2" t="s">
        <v>1154</v>
      </c>
      <c r="C4543" s="5" t="s">
        <v>984</v>
      </c>
      <c r="D4543" s="2" t="s">
        <v>853</v>
      </c>
    </row>
    <row r="4544" spans="1:4" ht="12.95" customHeight="1" x14ac:dyDescent="0.25">
      <c r="A4544" s="2" t="s">
        <v>695</v>
      </c>
      <c r="B4544" s="2" t="s">
        <v>1154</v>
      </c>
      <c r="C4544" s="5" t="s">
        <v>986</v>
      </c>
      <c r="D4544" s="2" t="s">
        <v>6076</v>
      </c>
    </row>
    <row r="4545" spans="1:4" ht="12.95" customHeight="1" x14ac:dyDescent="0.25">
      <c r="A4545" s="2" t="s">
        <v>695</v>
      </c>
      <c r="B4545" s="2" t="s">
        <v>1154</v>
      </c>
      <c r="C4545" s="5" t="s">
        <v>988</v>
      </c>
      <c r="D4545" s="2" t="s">
        <v>6056</v>
      </c>
    </row>
    <row r="4546" spans="1:4" ht="12.95" customHeight="1" x14ac:dyDescent="0.25">
      <c r="A4546" s="2" t="s">
        <v>695</v>
      </c>
      <c r="B4546" s="2" t="s">
        <v>1154</v>
      </c>
      <c r="C4546" s="5" t="s">
        <v>990</v>
      </c>
      <c r="D4546" s="2" t="s">
        <v>6057</v>
      </c>
    </row>
    <row r="4547" spans="1:4" ht="12.95" customHeight="1" x14ac:dyDescent="0.25">
      <c r="A4547" s="2" t="s">
        <v>695</v>
      </c>
      <c r="B4547" s="2" t="s">
        <v>1154</v>
      </c>
      <c r="C4547" s="5" t="s">
        <v>992</v>
      </c>
      <c r="D4547" s="2" t="s">
        <v>6077</v>
      </c>
    </row>
    <row r="4548" spans="1:4" ht="12.95" customHeight="1" x14ac:dyDescent="0.25">
      <c r="A4548" s="2" t="s">
        <v>695</v>
      </c>
      <c r="B4548" s="2" t="s">
        <v>1154</v>
      </c>
      <c r="C4548" s="5" t="s">
        <v>994</v>
      </c>
      <c r="D4548" s="2" t="s">
        <v>6078</v>
      </c>
    </row>
    <row r="4549" spans="1:4" ht="12.95" customHeight="1" x14ac:dyDescent="0.25">
      <c r="A4549" s="2" t="s">
        <v>695</v>
      </c>
      <c r="B4549" s="2" t="s">
        <v>1154</v>
      </c>
      <c r="C4549" s="5" t="s">
        <v>1003</v>
      </c>
      <c r="D4549" s="2" t="s">
        <v>6079</v>
      </c>
    </row>
    <row r="4550" spans="1:4" ht="12.95" customHeight="1" x14ac:dyDescent="0.25">
      <c r="A4550" s="2" t="s">
        <v>695</v>
      </c>
      <c r="B4550" s="2" t="s">
        <v>1154</v>
      </c>
      <c r="C4550" s="5" t="s">
        <v>1013</v>
      </c>
      <c r="D4550" s="2" t="s">
        <v>6080</v>
      </c>
    </row>
    <row r="4551" spans="1:4" ht="12.95" customHeight="1" x14ac:dyDescent="0.25">
      <c r="A4551" s="2" t="s">
        <v>695</v>
      </c>
      <c r="B4551" s="2" t="s">
        <v>1154</v>
      </c>
      <c r="C4551" s="5" t="s">
        <v>1015</v>
      </c>
      <c r="D4551" s="2" t="s">
        <v>6081</v>
      </c>
    </row>
    <row r="4552" spans="1:4" ht="12.95" customHeight="1" x14ac:dyDescent="0.25">
      <c r="A4552" s="2" t="s">
        <v>695</v>
      </c>
      <c r="B4552" s="2" t="s">
        <v>1154</v>
      </c>
      <c r="C4552" s="5" t="s">
        <v>1017</v>
      </c>
      <c r="D4552" s="2" t="s">
        <v>6082</v>
      </c>
    </row>
    <row r="4553" spans="1:4" ht="12.95" customHeight="1" x14ac:dyDescent="0.25">
      <c r="A4553" s="2" t="s">
        <v>695</v>
      </c>
      <c r="B4553" s="2" t="s">
        <v>1154</v>
      </c>
      <c r="C4553" s="5" t="s">
        <v>1019</v>
      </c>
      <c r="D4553" s="2" t="s">
        <v>6083</v>
      </c>
    </row>
    <row r="4554" spans="1:4" ht="12.95" customHeight="1" x14ac:dyDescent="0.25">
      <c r="A4554" s="2" t="s">
        <v>695</v>
      </c>
      <c r="B4554" s="2" t="s">
        <v>1154</v>
      </c>
      <c r="C4554" s="5" t="s">
        <v>1021</v>
      </c>
      <c r="D4554" s="2" t="s">
        <v>6064</v>
      </c>
    </row>
    <row r="4555" spans="1:4" ht="12.95" customHeight="1" x14ac:dyDescent="0.25">
      <c r="A4555" s="2" t="s">
        <v>695</v>
      </c>
      <c r="B4555" s="2" t="s">
        <v>1154</v>
      </c>
      <c r="C4555" s="5" t="s">
        <v>1023</v>
      </c>
      <c r="D4555" s="2" t="s">
        <v>6084</v>
      </c>
    </row>
    <row r="4556" spans="1:4" ht="12.95" customHeight="1" x14ac:dyDescent="0.25">
      <c r="A4556" s="2" t="s">
        <v>695</v>
      </c>
      <c r="B4556" s="2" t="s">
        <v>1154</v>
      </c>
      <c r="C4556" s="5" t="s">
        <v>1025</v>
      </c>
      <c r="D4556" s="2" t="s">
        <v>6066</v>
      </c>
    </row>
    <row r="4557" spans="1:4" ht="12.95" customHeight="1" x14ac:dyDescent="0.25">
      <c r="A4557" s="2" t="s">
        <v>695</v>
      </c>
      <c r="B4557" s="2" t="s">
        <v>1154</v>
      </c>
      <c r="C4557" s="5" t="s">
        <v>1027</v>
      </c>
      <c r="D4557" s="2" t="s">
        <v>6067</v>
      </c>
    </row>
    <row r="4558" spans="1:4" ht="12.95" customHeight="1" x14ac:dyDescent="0.25">
      <c r="A4558" s="2" t="s">
        <v>695</v>
      </c>
      <c r="B4558" s="2" t="s">
        <v>1154</v>
      </c>
      <c r="C4558" s="5" t="s">
        <v>1029</v>
      </c>
      <c r="D4558" s="2" t="s">
        <v>6085</v>
      </c>
    </row>
    <row r="4559" spans="1:4" ht="12.95" customHeight="1" x14ac:dyDescent="0.25">
      <c r="A4559" s="2" t="s">
        <v>695</v>
      </c>
      <c r="B4559" s="2" t="s">
        <v>1154</v>
      </c>
      <c r="C4559" s="5" t="s">
        <v>1031</v>
      </c>
      <c r="D4559" s="2" t="s">
        <v>6086</v>
      </c>
    </row>
    <row r="4560" spans="1:4" ht="12.95" customHeight="1" x14ac:dyDescent="0.25">
      <c r="A4560" s="2" t="s">
        <v>695</v>
      </c>
      <c r="B4560" s="2" t="s">
        <v>1154</v>
      </c>
      <c r="C4560" s="5" t="s">
        <v>1033</v>
      </c>
      <c r="D4560" s="2" t="s">
        <v>1000</v>
      </c>
    </row>
    <row r="4561" spans="1:4" ht="12.95" customHeight="1" x14ac:dyDescent="0.25">
      <c r="A4561" s="2" t="s">
        <v>695</v>
      </c>
      <c r="B4561" s="2" t="s">
        <v>1154</v>
      </c>
      <c r="C4561" s="5" t="s">
        <v>1035</v>
      </c>
      <c r="D4561" s="2" t="s">
        <v>6087</v>
      </c>
    </row>
    <row r="4562" spans="1:4" ht="12.95" customHeight="1" x14ac:dyDescent="0.25">
      <c r="A4562" s="2" t="s">
        <v>695</v>
      </c>
      <c r="B4562" s="2" t="s">
        <v>1154</v>
      </c>
      <c r="C4562" s="5" t="s">
        <v>1177</v>
      </c>
      <c r="D4562" s="2" t="s">
        <v>6071</v>
      </c>
    </row>
    <row r="4563" spans="1:4" ht="12.95" customHeight="1" x14ac:dyDescent="0.25">
      <c r="A4563" s="2" t="s">
        <v>695</v>
      </c>
      <c r="B4563" s="2" t="s">
        <v>1154</v>
      </c>
      <c r="C4563" s="5" t="s">
        <v>1005</v>
      </c>
      <c r="D4563" s="2" t="s">
        <v>6088</v>
      </c>
    </row>
    <row r="4564" spans="1:4" ht="12.95" customHeight="1" x14ac:dyDescent="0.25">
      <c r="A4564" s="2" t="s">
        <v>697</v>
      </c>
      <c r="B4564" s="2" t="s">
        <v>1154</v>
      </c>
      <c r="C4564" s="5" t="s">
        <v>996</v>
      </c>
      <c r="D4564" s="2" t="s">
        <v>997</v>
      </c>
    </row>
    <row r="4565" spans="1:4" ht="12.95" customHeight="1" x14ac:dyDescent="0.25">
      <c r="A4565" s="2" t="s">
        <v>697</v>
      </c>
      <c r="B4565" s="2" t="s">
        <v>1154</v>
      </c>
      <c r="C4565" s="5" t="s">
        <v>978</v>
      </c>
      <c r="D4565" s="2" t="s">
        <v>1047</v>
      </c>
    </row>
    <row r="4566" spans="1:4" ht="12.95" customHeight="1" x14ac:dyDescent="0.25">
      <c r="A4566" s="2" t="s">
        <v>697</v>
      </c>
      <c r="B4566" s="2" t="s">
        <v>1154</v>
      </c>
      <c r="C4566" s="5" t="s">
        <v>980</v>
      </c>
      <c r="D4566" s="2" t="s">
        <v>1041</v>
      </c>
    </row>
    <row r="4567" spans="1:4" ht="12.95" customHeight="1" x14ac:dyDescent="0.25">
      <c r="A4567" s="2" t="s">
        <v>697</v>
      </c>
      <c r="B4567" s="2" t="s">
        <v>1154</v>
      </c>
      <c r="C4567" s="5" t="s">
        <v>982</v>
      </c>
      <c r="D4567" s="2" t="s">
        <v>983</v>
      </c>
    </row>
    <row r="4568" spans="1:4" ht="12.95" customHeight="1" x14ac:dyDescent="0.25">
      <c r="A4568" s="2" t="s">
        <v>697</v>
      </c>
      <c r="B4568" s="2" t="s">
        <v>1154</v>
      </c>
      <c r="C4568" s="5" t="s">
        <v>984</v>
      </c>
      <c r="D4568" s="2" t="s">
        <v>853</v>
      </c>
    </row>
    <row r="4569" spans="1:4" ht="12.95" customHeight="1" x14ac:dyDescent="0.25">
      <c r="A4569" s="2" t="s">
        <v>697</v>
      </c>
      <c r="B4569" s="2" t="s">
        <v>1154</v>
      </c>
      <c r="C4569" s="5" t="s">
        <v>986</v>
      </c>
      <c r="D4569" s="2" t="s">
        <v>6076</v>
      </c>
    </row>
    <row r="4570" spans="1:4" ht="12.95" customHeight="1" x14ac:dyDescent="0.25">
      <c r="A4570" s="2" t="s">
        <v>697</v>
      </c>
      <c r="B4570" s="2" t="s">
        <v>1154</v>
      </c>
      <c r="C4570" s="5" t="s">
        <v>988</v>
      </c>
      <c r="D4570" s="2" t="s">
        <v>6056</v>
      </c>
    </row>
    <row r="4571" spans="1:4" ht="12.95" customHeight="1" x14ac:dyDescent="0.25">
      <c r="A4571" s="2" t="s">
        <v>697</v>
      </c>
      <c r="B4571" s="2" t="s">
        <v>1154</v>
      </c>
      <c r="C4571" s="5" t="s">
        <v>990</v>
      </c>
      <c r="D4571" s="2" t="s">
        <v>6057</v>
      </c>
    </row>
    <row r="4572" spans="1:4" ht="12.95" customHeight="1" x14ac:dyDescent="0.25">
      <c r="A4572" s="2" t="s">
        <v>697</v>
      </c>
      <c r="B4572" s="2" t="s">
        <v>1154</v>
      </c>
      <c r="C4572" s="5" t="s">
        <v>992</v>
      </c>
      <c r="D4572" s="2" t="s">
        <v>6077</v>
      </c>
    </row>
    <row r="4573" spans="1:4" ht="12.95" customHeight="1" x14ac:dyDescent="0.25">
      <c r="A4573" s="2" t="s">
        <v>697</v>
      </c>
      <c r="B4573" s="2" t="s">
        <v>1154</v>
      </c>
      <c r="C4573" s="5" t="s">
        <v>994</v>
      </c>
      <c r="D4573" s="2" t="s">
        <v>6078</v>
      </c>
    </row>
    <row r="4574" spans="1:4" ht="12.95" customHeight="1" x14ac:dyDescent="0.25">
      <c r="A4574" s="2" t="s">
        <v>697</v>
      </c>
      <c r="B4574" s="2" t="s">
        <v>1154</v>
      </c>
      <c r="C4574" s="5" t="s">
        <v>1003</v>
      </c>
      <c r="D4574" s="2" t="s">
        <v>6079</v>
      </c>
    </row>
    <row r="4575" spans="1:4" ht="12.95" customHeight="1" x14ac:dyDescent="0.25">
      <c r="A4575" s="2" t="s">
        <v>697</v>
      </c>
      <c r="B4575" s="2" t="s">
        <v>1154</v>
      </c>
      <c r="C4575" s="5" t="s">
        <v>1013</v>
      </c>
      <c r="D4575" s="2" t="s">
        <v>6080</v>
      </c>
    </row>
    <row r="4576" spans="1:4" ht="12.95" customHeight="1" x14ac:dyDescent="0.25">
      <c r="A4576" s="2" t="s">
        <v>697</v>
      </c>
      <c r="B4576" s="2" t="s">
        <v>1154</v>
      </c>
      <c r="C4576" s="5" t="s">
        <v>1015</v>
      </c>
      <c r="D4576" s="2" t="s">
        <v>6081</v>
      </c>
    </row>
    <row r="4577" spans="1:4" ht="12.95" customHeight="1" x14ac:dyDescent="0.25">
      <c r="A4577" s="2" t="s">
        <v>697</v>
      </c>
      <c r="B4577" s="2" t="s">
        <v>1154</v>
      </c>
      <c r="C4577" s="5" t="s">
        <v>1017</v>
      </c>
      <c r="D4577" s="2" t="s">
        <v>6082</v>
      </c>
    </row>
    <row r="4578" spans="1:4" ht="12.95" customHeight="1" x14ac:dyDescent="0.25">
      <c r="A4578" s="2" t="s">
        <v>697</v>
      </c>
      <c r="B4578" s="2" t="s">
        <v>1154</v>
      </c>
      <c r="C4578" s="5" t="s">
        <v>1019</v>
      </c>
      <c r="D4578" s="2" t="s">
        <v>6083</v>
      </c>
    </row>
    <row r="4579" spans="1:4" ht="12.95" customHeight="1" x14ac:dyDescent="0.25">
      <c r="A4579" s="2" t="s">
        <v>697</v>
      </c>
      <c r="B4579" s="2" t="s">
        <v>1154</v>
      </c>
      <c r="C4579" s="5" t="s">
        <v>1021</v>
      </c>
      <c r="D4579" s="2" t="s">
        <v>6064</v>
      </c>
    </row>
    <row r="4580" spans="1:4" ht="12.95" customHeight="1" x14ac:dyDescent="0.25">
      <c r="A4580" s="2" t="s">
        <v>697</v>
      </c>
      <c r="B4580" s="2" t="s">
        <v>1154</v>
      </c>
      <c r="C4580" s="5" t="s">
        <v>1023</v>
      </c>
      <c r="D4580" s="2" t="s">
        <v>6084</v>
      </c>
    </row>
    <row r="4581" spans="1:4" ht="12.95" customHeight="1" x14ac:dyDescent="0.25">
      <c r="A4581" s="2" t="s">
        <v>697</v>
      </c>
      <c r="B4581" s="2" t="s">
        <v>1154</v>
      </c>
      <c r="C4581" s="5" t="s">
        <v>1025</v>
      </c>
      <c r="D4581" s="2" t="s">
        <v>6066</v>
      </c>
    </row>
    <row r="4582" spans="1:4" ht="12.95" customHeight="1" x14ac:dyDescent="0.25">
      <c r="A4582" s="2" t="s">
        <v>697</v>
      </c>
      <c r="B4582" s="2" t="s">
        <v>1154</v>
      </c>
      <c r="C4582" s="5" t="s">
        <v>1027</v>
      </c>
      <c r="D4582" s="2" t="s">
        <v>6067</v>
      </c>
    </row>
    <row r="4583" spans="1:4" ht="12.95" customHeight="1" x14ac:dyDescent="0.25">
      <c r="A4583" s="2" t="s">
        <v>697</v>
      </c>
      <c r="B4583" s="2" t="s">
        <v>1154</v>
      </c>
      <c r="C4583" s="5" t="s">
        <v>1029</v>
      </c>
      <c r="D4583" s="2" t="s">
        <v>6085</v>
      </c>
    </row>
    <row r="4584" spans="1:4" ht="12.95" customHeight="1" x14ac:dyDescent="0.25">
      <c r="A4584" s="2" t="s">
        <v>697</v>
      </c>
      <c r="B4584" s="2" t="s">
        <v>1154</v>
      </c>
      <c r="C4584" s="5" t="s">
        <v>1031</v>
      </c>
      <c r="D4584" s="2" t="s">
        <v>6086</v>
      </c>
    </row>
    <row r="4585" spans="1:4" ht="12.95" customHeight="1" x14ac:dyDescent="0.25">
      <c r="A4585" s="2" t="s">
        <v>697</v>
      </c>
      <c r="B4585" s="2" t="s">
        <v>1154</v>
      </c>
      <c r="C4585" s="5" t="s">
        <v>1033</v>
      </c>
      <c r="D4585" s="2" t="s">
        <v>1000</v>
      </c>
    </row>
    <row r="4586" spans="1:4" ht="12.95" customHeight="1" x14ac:dyDescent="0.25">
      <c r="A4586" s="2" t="s">
        <v>697</v>
      </c>
      <c r="B4586" s="2" t="s">
        <v>1154</v>
      </c>
      <c r="C4586" s="5" t="s">
        <v>1035</v>
      </c>
      <c r="D4586" s="2" t="s">
        <v>6087</v>
      </c>
    </row>
    <row r="4587" spans="1:4" ht="12.95" customHeight="1" x14ac:dyDescent="0.25">
      <c r="A4587" s="2" t="s">
        <v>697</v>
      </c>
      <c r="B4587" s="2" t="s">
        <v>1154</v>
      </c>
      <c r="C4587" s="5" t="s">
        <v>1177</v>
      </c>
      <c r="D4587" s="2" t="s">
        <v>6071</v>
      </c>
    </row>
    <row r="4588" spans="1:4" ht="12.95" customHeight="1" x14ac:dyDescent="0.25">
      <c r="A4588" s="2" t="s">
        <v>697</v>
      </c>
      <c r="B4588" s="2" t="s">
        <v>1154</v>
      </c>
      <c r="C4588" s="5" t="s">
        <v>1005</v>
      </c>
      <c r="D4588" s="2" t="s">
        <v>6088</v>
      </c>
    </row>
    <row r="4589" spans="1:4" ht="12.95" customHeight="1" x14ac:dyDescent="0.25">
      <c r="A4589" s="2" t="s">
        <v>699</v>
      </c>
      <c r="B4589" s="2" t="s">
        <v>1154</v>
      </c>
      <c r="C4589" s="5" t="s">
        <v>996</v>
      </c>
      <c r="D4589" s="2" t="s">
        <v>997</v>
      </c>
    </row>
    <row r="4590" spans="1:4" ht="12.95" customHeight="1" x14ac:dyDescent="0.25">
      <c r="A4590" s="2" t="s">
        <v>699</v>
      </c>
      <c r="B4590" s="2" t="s">
        <v>1154</v>
      </c>
      <c r="C4590" s="5" t="s">
        <v>978</v>
      </c>
      <c r="D4590" s="2" t="s">
        <v>1047</v>
      </c>
    </row>
    <row r="4591" spans="1:4" ht="12.95" customHeight="1" x14ac:dyDescent="0.25">
      <c r="A4591" s="2" t="s">
        <v>699</v>
      </c>
      <c r="B4591" s="2" t="s">
        <v>1154</v>
      </c>
      <c r="C4591" s="5" t="s">
        <v>980</v>
      </c>
      <c r="D4591" s="2" t="s">
        <v>1041</v>
      </c>
    </row>
    <row r="4592" spans="1:4" ht="12.95" customHeight="1" x14ac:dyDescent="0.25">
      <c r="A4592" s="2" t="s">
        <v>699</v>
      </c>
      <c r="B4592" s="2" t="s">
        <v>1154</v>
      </c>
      <c r="C4592" s="5" t="s">
        <v>982</v>
      </c>
      <c r="D4592" s="2" t="s">
        <v>983</v>
      </c>
    </row>
    <row r="4593" spans="1:4" ht="12.95" customHeight="1" x14ac:dyDescent="0.25">
      <c r="A4593" s="2" t="s">
        <v>699</v>
      </c>
      <c r="B4593" s="2" t="s">
        <v>1154</v>
      </c>
      <c r="C4593" s="5" t="s">
        <v>984</v>
      </c>
      <c r="D4593" s="2" t="s">
        <v>853</v>
      </c>
    </row>
    <row r="4594" spans="1:4" ht="12.95" customHeight="1" x14ac:dyDescent="0.25">
      <c r="A4594" s="2" t="s">
        <v>699</v>
      </c>
      <c r="B4594" s="2" t="s">
        <v>1154</v>
      </c>
      <c r="C4594" s="5" t="s">
        <v>986</v>
      </c>
      <c r="D4594" s="2" t="s">
        <v>6076</v>
      </c>
    </row>
    <row r="4595" spans="1:4" ht="12.95" customHeight="1" x14ac:dyDescent="0.25">
      <c r="A4595" s="2" t="s">
        <v>699</v>
      </c>
      <c r="B4595" s="2" t="s">
        <v>1154</v>
      </c>
      <c r="C4595" s="5" t="s">
        <v>988</v>
      </c>
      <c r="D4595" s="2" t="s">
        <v>6056</v>
      </c>
    </row>
    <row r="4596" spans="1:4" ht="12.95" customHeight="1" x14ac:dyDescent="0.25">
      <c r="A4596" s="2" t="s">
        <v>699</v>
      </c>
      <c r="B4596" s="2" t="s">
        <v>1154</v>
      </c>
      <c r="C4596" s="5" t="s">
        <v>990</v>
      </c>
      <c r="D4596" s="2" t="s">
        <v>6057</v>
      </c>
    </row>
    <row r="4597" spans="1:4" ht="12.95" customHeight="1" x14ac:dyDescent="0.25">
      <c r="A4597" s="2" t="s">
        <v>699</v>
      </c>
      <c r="B4597" s="2" t="s">
        <v>1154</v>
      </c>
      <c r="C4597" s="5" t="s">
        <v>992</v>
      </c>
      <c r="D4597" s="2" t="s">
        <v>6077</v>
      </c>
    </row>
    <row r="4598" spans="1:4" ht="12.95" customHeight="1" x14ac:dyDescent="0.25">
      <c r="A4598" s="2" t="s">
        <v>699</v>
      </c>
      <c r="B4598" s="2" t="s">
        <v>1154</v>
      </c>
      <c r="C4598" s="5" t="s">
        <v>994</v>
      </c>
      <c r="D4598" s="2" t="s">
        <v>6078</v>
      </c>
    </row>
    <row r="4599" spans="1:4" ht="12.95" customHeight="1" x14ac:dyDescent="0.25">
      <c r="A4599" s="2" t="s">
        <v>699</v>
      </c>
      <c r="B4599" s="2" t="s">
        <v>1154</v>
      </c>
      <c r="C4599" s="5" t="s">
        <v>1003</v>
      </c>
      <c r="D4599" s="2" t="s">
        <v>6079</v>
      </c>
    </row>
    <row r="4600" spans="1:4" ht="12.95" customHeight="1" x14ac:dyDescent="0.25">
      <c r="A4600" s="2" t="s">
        <v>699</v>
      </c>
      <c r="B4600" s="2" t="s">
        <v>1154</v>
      </c>
      <c r="C4600" s="5" t="s">
        <v>1013</v>
      </c>
      <c r="D4600" s="2" t="s">
        <v>6080</v>
      </c>
    </row>
    <row r="4601" spans="1:4" ht="12.95" customHeight="1" x14ac:dyDescent="0.25">
      <c r="A4601" s="2" t="s">
        <v>699</v>
      </c>
      <c r="B4601" s="2" t="s">
        <v>1154</v>
      </c>
      <c r="C4601" s="5" t="s">
        <v>1015</v>
      </c>
      <c r="D4601" s="2" t="s">
        <v>6081</v>
      </c>
    </row>
    <row r="4602" spans="1:4" ht="12.95" customHeight="1" x14ac:dyDescent="0.25">
      <c r="A4602" s="2" t="s">
        <v>699</v>
      </c>
      <c r="B4602" s="2" t="s">
        <v>1154</v>
      </c>
      <c r="C4602" s="5" t="s">
        <v>1017</v>
      </c>
      <c r="D4602" s="2" t="s">
        <v>6082</v>
      </c>
    </row>
    <row r="4603" spans="1:4" ht="12.95" customHeight="1" x14ac:dyDescent="0.25">
      <c r="A4603" s="2" t="s">
        <v>699</v>
      </c>
      <c r="B4603" s="2" t="s">
        <v>1154</v>
      </c>
      <c r="C4603" s="5" t="s">
        <v>1019</v>
      </c>
      <c r="D4603" s="2" t="s">
        <v>6083</v>
      </c>
    </row>
    <row r="4604" spans="1:4" ht="12.95" customHeight="1" x14ac:dyDescent="0.25">
      <c r="A4604" s="2" t="s">
        <v>699</v>
      </c>
      <c r="B4604" s="2" t="s">
        <v>1154</v>
      </c>
      <c r="C4604" s="5" t="s">
        <v>1021</v>
      </c>
      <c r="D4604" s="2" t="s">
        <v>6064</v>
      </c>
    </row>
    <row r="4605" spans="1:4" ht="12.95" customHeight="1" x14ac:dyDescent="0.25">
      <c r="A4605" s="2" t="s">
        <v>699</v>
      </c>
      <c r="B4605" s="2" t="s">
        <v>1154</v>
      </c>
      <c r="C4605" s="5" t="s">
        <v>1023</v>
      </c>
      <c r="D4605" s="2" t="s">
        <v>6084</v>
      </c>
    </row>
    <row r="4606" spans="1:4" ht="12.95" customHeight="1" x14ac:dyDescent="0.25">
      <c r="A4606" s="2" t="s">
        <v>699</v>
      </c>
      <c r="B4606" s="2" t="s">
        <v>1154</v>
      </c>
      <c r="C4606" s="5" t="s">
        <v>1025</v>
      </c>
      <c r="D4606" s="2" t="s">
        <v>6066</v>
      </c>
    </row>
    <row r="4607" spans="1:4" ht="12.95" customHeight="1" x14ac:dyDescent="0.25">
      <c r="A4607" s="2" t="s">
        <v>699</v>
      </c>
      <c r="B4607" s="2" t="s">
        <v>1154</v>
      </c>
      <c r="C4607" s="5" t="s">
        <v>1027</v>
      </c>
      <c r="D4607" s="2" t="s">
        <v>6067</v>
      </c>
    </row>
    <row r="4608" spans="1:4" ht="12.95" customHeight="1" x14ac:dyDescent="0.25">
      <c r="A4608" s="2" t="s">
        <v>699</v>
      </c>
      <c r="B4608" s="2" t="s">
        <v>1154</v>
      </c>
      <c r="C4608" s="5" t="s">
        <v>1029</v>
      </c>
      <c r="D4608" s="2" t="s">
        <v>6085</v>
      </c>
    </row>
    <row r="4609" spans="1:4" ht="12.95" customHeight="1" x14ac:dyDescent="0.25">
      <c r="A4609" s="2" t="s">
        <v>699</v>
      </c>
      <c r="B4609" s="2" t="s">
        <v>1154</v>
      </c>
      <c r="C4609" s="5" t="s">
        <v>1031</v>
      </c>
      <c r="D4609" s="2" t="s">
        <v>6086</v>
      </c>
    </row>
    <row r="4610" spans="1:4" ht="12.95" customHeight="1" x14ac:dyDescent="0.25">
      <c r="A4610" s="2" t="s">
        <v>699</v>
      </c>
      <c r="B4610" s="2" t="s">
        <v>1154</v>
      </c>
      <c r="C4610" s="5" t="s">
        <v>1033</v>
      </c>
      <c r="D4610" s="2" t="s">
        <v>1000</v>
      </c>
    </row>
    <row r="4611" spans="1:4" ht="12.95" customHeight="1" x14ac:dyDescent="0.25">
      <c r="A4611" s="2" t="s">
        <v>699</v>
      </c>
      <c r="B4611" s="2" t="s">
        <v>1154</v>
      </c>
      <c r="C4611" s="5" t="s">
        <v>1035</v>
      </c>
      <c r="D4611" s="2" t="s">
        <v>6087</v>
      </c>
    </row>
    <row r="4612" spans="1:4" ht="12.95" customHeight="1" x14ac:dyDescent="0.25">
      <c r="A4612" s="2" t="s">
        <v>699</v>
      </c>
      <c r="B4612" s="2" t="s">
        <v>1154</v>
      </c>
      <c r="C4612" s="5" t="s">
        <v>1177</v>
      </c>
      <c r="D4612" s="2" t="s">
        <v>6071</v>
      </c>
    </row>
    <row r="4613" spans="1:4" ht="12.95" customHeight="1" x14ac:dyDescent="0.25">
      <c r="A4613" s="2" t="s">
        <v>699</v>
      </c>
      <c r="B4613" s="2" t="s">
        <v>1154</v>
      </c>
      <c r="C4613" s="5" t="s">
        <v>1005</v>
      </c>
      <c r="D4613" s="2" t="s">
        <v>6088</v>
      </c>
    </row>
    <row r="4614" spans="1:4" ht="12.95" customHeight="1" x14ac:dyDescent="0.25">
      <c r="A4614" s="2" t="s">
        <v>701</v>
      </c>
      <c r="B4614" s="2" t="s">
        <v>1154</v>
      </c>
      <c r="C4614" s="5" t="s">
        <v>996</v>
      </c>
      <c r="D4614" s="2" t="s">
        <v>997</v>
      </c>
    </row>
    <row r="4615" spans="1:4" ht="12.95" customHeight="1" x14ac:dyDescent="0.25">
      <c r="A4615" s="2" t="s">
        <v>701</v>
      </c>
      <c r="B4615" s="2" t="s">
        <v>1154</v>
      </c>
      <c r="C4615" s="5" t="s">
        <v>978</v>
      </c>
      <c r="D4615" s="2" t="s">
        <v>1047</v>
      </c>
    </row>
    <row r="4616" spans="1:4" ht="12.95" customHeight="1" x14ac:dyDescent="0.25">
      <c r="A4616" s="2" t="s">
        <v>701</v>
      </c>
      <c r="B4616" s="2" t="s">
        <v>1154</v>
      </c>
      <c r="C4616" s="5" t="s">
        <v>980</v>
      </c>
      <c r="D4616" s="2" t="s">
        <v>1041</v>
      </c>
    </row>
    <row r="4617" spans="1:4" ht="12.95" customHeight="1" x14ac:dyDescent="0.25">
      <c r="A4617" s="2" t="s">
        <v>701</v>
      </c>
      <c r="B4617" s="2" t="s">
        <v>1154</v>
      </c>
      <c r="C4617" s="5" t="s">
        <v>982</v>
      </c>
      <c r="D4617" s="2" t="s">
        <v>983</v>
      </c>
    </row>
    <row r="4618" spans="1:4" ht="12.95" customHeight="1" x14ac:dyDescent="0.25">
      <c r="A4618" s="2" t="s">
        <v>701</v>
      </c>
      <c r="B4618" s="2" t="s">
        <v>1154</v>
      </c>
      <c r="C4618" s="5" t="s">
        <v>984</v>
      </c>
      <c r="D4618" s="2" t="s">
        <v>853</v>
      </c>
    </row>
    <row r="4619" spans="1:4" ht="12.95" customHeight="1" x14ac:dyDescent="0.25">
      <c r="A4619" s="2" t="s">
        <v>701</v>
      </c>
      <c r="B4619" s="2" t="s">
        <v>1154</v>
      </c>
      <c r="C4619" s="5" t="s">
        <v>986</v>
      </c>
      <c r="D4619" s="2" t="s">
        <v>6076</v>
      </c>
    </row>
    <row r="4620" spans="1:4" ht="12.95" customHeight="1" x14ac:dyDescent="0.25">
      <c r="A4620" s="2" t="s">
        <v>701</v>
      </c>
      <c r="B4620" s="2" t="s">
        <v>1154</v>
      </c>
      <c r="C4620" s="5" t="s">
        <v>988</v>
      </c>
      <c r="D4620" s="2" t="s">
        <v>6056</v>
      </c>
    </row>
    <row r="4621" spans="1:4" ht="12.95" customHeight="1" x14ac:dyDescent="0.25">
      <c r="A4621" s="2" t="s">
        <v>701</v>
      </c>
      <c r="B4621" s="2" t="s">
        <v>1154</v>
      </c>
      <c r="C4621" s="5" t="s">
        <v>990</v>
      </c>
      <c r="D4621" s="2" t="s">
        <v>6057</v>
      </c>
    </row>
    <row r="4622" spans="1:4" ht="12.95" customHeight="1" x14ac:dyDescent="0.25">
      <c r="A4622" s="2" t="s">
        <v>701</v>
      </c>
      <c r="B4622" s="2" t="s">
        <v>1154</v>
      </c>
      <c r="C4622" s="5" t="s">
        <v>992</v>
      </c>
      <c r="D4622" s="2" t="s">
        <v>6077</v>
      </c>
    </row>
    <row r="4623" spans="1:4" ht="12.95" customHeight="1" x14ac:dyDescent="0.25">
      <c r="A4623" s="2" t="s">
        <v>701</v>
      </c>
      <c r="B4623" s="2" t="s">
        <v>1154</v>
      </c>
      <c r="C4623" s="5" t="s">
        <v>994</v>
      </c>
      <c r="D4623" s="2" t="s">
        <v>6078</v>
      </c>
    </row>
    <row r="4624" spans="1:4" ht="12.95" customHeight="1" x14ac:dyDescent="0.25">
      <c r="A4624" s="2" t="s">
        <v>701</v>
      </c>
      <c r="B4624" s="2" t="s">
        <v>1154</v>
      </c>
      <c r="C4624" s="5" t="s">
        <v>1003</v>
      </c>
      <c r="D4624" s="2" t="s">
        <v>6079</v>
      </c>
    </row>
    <row r="4625" spans="1:4" ht="12.95" customHeight="1" x14ac:dyDescent="0.25">
      <c r="A4625" s="2" t="s">
        <v>701</v>
      </c>
      <c r="B4625" s="2" t="s">
        <v>1154</v>
      </c>
      <c r="C4625" s="5" t="s">
        <v>1013</v>
      </c>
      <c r="D4625" s="2" t="s">
        <v>6080</v>
      </c>
    </row>
    <row r="4626" spans="1:4" ht="12.95" customHeight="1" x14ac:dyDescent="0.25">
      <c r="A4626" s="2" t="s">
        <v>701</v>
      </c>
      <c r="B4626" s="2" t="s">
        <v>1154</v>
      </c>
      <c r="C4626" s="5" t="s">
        <v>1015</v>
      </c>
      <c r="D4626" s="2" t="s">
        <v>6081</v>
      </c>
    </row>
    <row r="4627" spans="1:4" ht="12.95" customHeight="1" x14ac:dyDescent="0.25">
      <c r="A4627" s="2" t="s">
        <v>701</v>
      </c>
      <c r="B4627" s="2" t="s">
        <v>1154</v>
      </c>
      <c r="C4627" s="5" t="s">
        <v>1017</v>
      </c>
      <c r="D4627" s="2" t="s">
        <v>6082</v>
      </c>
    </row>
    <row r="4628" spans="1:4" ht="12.95" customHeight="1" x14ac:dyDescent="0.25">
      <c r="A4628" s="2" t="s">
        <v>701</v>
      </c>
      <c r="B4628" s="2" t="s">
        <v>1154</v>
      </c>
      <c r="C4628" s="5" t="s">
        <v>1019</v>
      </c>
      <c r="D4628" s="2" t="s">
        <v>6083</v>
      </c>
    </row>
    <row r="4629" spans="1:4" ht="12.95" customHeight="1" x14ac:dyDescent="0.25">
      <c r="A4629" s="2" t="s">
        <v>701</v>
      </c>
      <c r="B4629" s="2" t="s">
        <v>1154</v>
      </c>
      <c r="C4629" s="5" t="s">
        <v>1021</v>
      </c>
      <c r="D4629" s="2" t="s">
        <v>6064</v>
      </c>
    </row>
    <row r="4630" spans="1:4" ht="12.95" customHeight="1" x14ac:dyDescent="0.25">
      <c r="A4630" s="2" t="s">
        <v>701</v>
      </c>
      <c r="B4630" s="2" t="s">
        <v>1154</v>
      </c>
      <c r="C4630" s="5" t="s">
        <v>1023</v>
      </c>
      <c r="D4630" s="2" t="s">
        <v>6084</v>
      </c>
    </row>
    <row r="4631" spans="1:4" ht="12.95" customHeight="1" x14ac:dyDescent="0.25">
      <c r="A4631" s="2" t="s">
        <v>701</v>
      </c>
      <c r="B4631" s="2" t="s">
        <v>1154</v>
      </c>
      <c r="C4631" s="5" t="s">
        <v>1025</v>
      </c>
      <c r="D4631" s="2" t="s">
        <v>6066</v>
      </c>
    </row>
    <row r="4632" spans="1:4" ht="12.95" customHeight="1" x14ac:dyDescent="0.25">
      <c r="A4632" s="2" t="s">
        <v>701</v>
      </c>
      <c r="B4632" s="2" t="s">
        <v>1154</v>
      </c>
      <c r="C4632" s="5" t="s">
        <v>1027</v>
      </c>
      <c r="D4632" s="2" t="s">
        <v>6067</v>
      </c>
    </row>
    <row r="4633" spans="1:4" ht="12.95" customHeight="1" x14ac:dyDescent="0.25">
      <c r="A4633" s="2" t="s">
        <v>701</v>
      </c>
      <c r="B4633" s="2" t="s">
        <v>1154</v>
      </c>
      <c r="C4633" s="5" t="s">
        <v>1029</v>
      </c>
      <c r="D4633" s="2" t="s">
        <v>6085</v>
      </c>
    </row>
    <row r="4634" spans="1:4" ht="12.95" customHeight="1" x14ac:dyDescent="0.25">
      <c r="A4634" s="2" t="s">
        <v>701</v>
      </c>
      <c r="B4634" s="2" t="s">
        <v>1154</v>
      </c>
      <c r="C4634" s="5" t="s">
        <v>1031</v>
      </c>
      <c r="D4634" s="2" t="s">
        <v>6086</v>
      </c>
    </row>
    <row r="4635" spans="1:4" ht="12.95" customHeight="1" x14ac:dyDescent="0.25">
      <c r="A4635" s="2" t="s">
        <v>701</v>
      </c>
      <c r="B4635" s="2" t="s">
        <v>1154</v>
      </c>
      <c r="C4635" s="5" t="s">
        <v>1033</v>
      </c>
      <c r="D4635" s="2" t="s">
        <v>1000</v>
      </c>
    </row>
    <row r="4636" spans="1:4" ht="12.95" customHeight="1" x14ac:dyDescent="0.25">
      <c r="A4636" s="2" t="s">
        <v>701</v>
      </c>
      <c r="B4636" s="2" t="s">
        <v>1154</v>
      </c>
      <c r="C4636" s="5" t="s">
        <v>1035</v>
      </c>
      <c r="D4636" s="2" t="s">
        <v>6087</v>
      </c>
    </row>
    <row r="4637" spans="1:4" ht="12.95" customHeight="1" x14ac:dyDescent="0.25">
      <c r="A4637" s="2" t="s">
        <v>701</v>
      </c>
      <c r="B4637" s="2" t="s">
        <v>1154</v>
      </c>
      <c r="C4637" s="5" t="s">
        <v>1177</v>
      </c>
      <c r="D4637" s="2" t="s">
        <v>6071</v>
      </c>
    </row>
    <row r="4638" spans="1:4" ht="12.95" customHeight="1" x14ac:dyDescent="0.25">
      <c r="A4638" s="2" t="s">
        <v>701</v>
      </c>
      <c r="B4638" s="2" t="s">
        <v>1154</v>
      </c>
      <c r="C4638" s="5" t="s">
        <v>1005</v>
      </c>
      <c r="D4638" s="2" t="s">
        <v>6088</v>
      </c>
    </row>
    <row r="4639" spans="1:4" ht="12.95" customHeight="1" x14ac:dyDescent="0.25">
      <c r="A4639" s="2" t="s">
        <v>703</v>
      </c>
      <c r="B4639" s="2" t="s">
        <v>1154</v>
      </c>
      <c r="C4639" s="5" t="s">
        <v>996</v>
      </c>
      <c r="D4639" s="2" t="s">
        <v>997</v>
      </c>
    </row>
    <row r="4640" spans="1:4" ht="12.95" customHeight="1" x14ac:dyDescent="0.25">
      <c r="A4640" s="2" t="s">
        <v>703</v>
      </c>
      <c r="B4640" s="2" t="s">
        <v>1154</v>
      </c>
      <c r="C4640" s="5" t="s">
        <v>978</v>
      </c>
      <c r="D4640" s="2" t="s">
        <v>1047</v>
      </c>
    </row>
    <row r="4641" spans="1:4" ht="12.95" customHeight="1" x14ac:dyDescent="0.25">
      <c r="A4641" s="2" t="s">
        <v>703</v>
      </c>
      <c r="B4641" s="2" t="s">
        <v>1154</v>
      </c>
      <c r="C4641" s="5" t="s">
        <v>980</v>
      </c>
      <c r="D4641" s="2" t="s">
        <v>1041</v>
      </c>
    </row>
    <row r="4642" spans="1:4" ht="12.95" customHeight="1" x14ac:dyDescent="0.25">
      <c r="A4642" s="2" t="s">
        <v>703</v>
      </c>
      <c r="B4642" s="2" t="s">
        <v>1154</v>
      </c>
      <c r="C4642" s="5" t="s">
        <v>982</v>
      </c>
      <c r="D4642" s="2" t="s">
        <v>983</v>
      </c>
    </row>
    <row r="4643" spans="1:4" ht="12.95" customHeight="1" x14ac:dyDescent="0.25">
      <c r="A4643" s="2" t="s">
        <v>703</v>
      </c>
      <c r="B4643" s="2" t="s">
        <v>1154</v>
      </c>
      <c r="C4643" s="5" t="s">
        <v>984</v>
      </c>
      <c r="D4643" s="2" t="s">
        <v>853</v>
      </c>
    </row>
    <row r="4644" spans="1:4" ht="12.95" customHeight="1" x14ac:dyDescent="0.25">
      <c r="A4644" s="2" t="s">
        <v>703</v>
      </c>
      <c r="B4644" s="2" t="s">
        <v>1154</v>
      </c>
      <c r="C4644" s="5" t="s">
        <v>986</v>
      </c>
      <c r="D4644" s="2" t="s">
        <v>6076</v>
      </c>
    </row>
    <row r="4645" spans="1:4" ht="12.95" customHeight="1" x14ac:dyDescent="0.25">
      <c r="A4645" s="2" t="s">
        <v>703</v>
      </c>
      <c r="B4645" s="2" t="s">
        <v>1154</v>
      </c>
      <c r="C4645" s="5" t="s">
        <v>988</v>
      </c>
      <c r="D4645" s="2" t="s">
        <v>6056</v>
      </c>
    </row>
    <row r="4646" spans="1:4" ht="12.95" customHeight="1" x14ac:dyDescent="0.25">
      <c r="A4646" s="2" t="s">
        <v>703</v>
      </c>
      <c r="B4646" s="2" t="s">
        <v>1154</v>
      </c>
      <c r="C4646" s="5" t="s">
        <v>990</v>
      </c>
      <c r="D4646" s="2" t="s">
        <v>6057</v>
      </c>
    </row>
    <row r="4647" spans="1:4" ht="12.95" customHeight="1" x14ac:dyDescent="0.25">
      <c r="A4647" s="2" t="s">
        <v>703</v>
      </c>
      <c r="B4647" s="2" t="s">
        <v>1154</v>
      </c>
      <c r="C4647" s="5" t="s">
        <v>992</v>
      </c>
      <c r="D4647" s="2" t="s">
        <v>6077</v>
      </c>
    </row>
    <row r="4648" spans="1:4" ht="12.95" customHeight="1" x14ac:dyDescent="0.25">
      <c r="A4648" s="2" t="s">
        <v>703</v>
      </c>
      <c r="B4648" s="2" t="s">
        <v>1154</v>
      </c>
      <c r="C4648" s="5" t="s">
        <v>994</v>
      </c>
      <c r="D4648" s="2" t="s">
        <v>6078</v>
      </c>
    </row>
    <row r="4649" spans="1:4" ht="12.95" customHeight="1" x14ac:dyDescent="0.25">
      <c r="A4649" s="2" t="s">
        <v>703</v>
      </c>
      <c r="B4649" s="2" t="s">
        <v>1154</v>
      </c>
      <c r="C4649" s="5" t="s">
        <v>1003</v>
      </c>
      <c r="D4649" s="2" t="s">
        <v>6079</v>
      </c>
    </row>
    <row r="4650" spans="1:4" ht="12.95" customHeight="1" x14ac:dyDescent="0.25">
      <c r="A4650" s="2" t="s">
        <v>703</v>
      </c>
      <c r="B4650" s="2" t="s">
        <v>1154</v>
      </c>
      <c r="C4650" s="5" t="s">
        <v>1013</v>
      </c>
      <c r="D4650" s="2" t="s">
        <v>6080</v>
      </c>
    </row>
    <row r="4651" spans="1:4" ht="12.95" customHeight="1" x14ac:dyDescent="0.25">
      <c r="A4651" s="2" t="s">
        <v>703</v>
      </c>
      <c r="B4651" s="2" t="s">
        <v>1154</v>
      </c>
      <c r="C4651" s="5" t="s">
        <v>1015</v>
      </c>
      <c r="D4651" s="2" t="s">
        <v>6081</v>
      </c>
    </row>
    <row r="4652" spans="1:4" ht="12.95" customHeight="1" x14ac:dyDescent="0.25">
      <c r="A4652" s="2" t="s">
        <v>703</v>
      </c>
      <c r="B4652" s="2" t="s">
        <v>1154</v>
      </c>
      <c r="C4652" s="5" t="s">
        <v>1017</v>
      </c>
      <c r="D4652" s="2" t="s">
        <v>6082</v>
      </c>
    </row>
    <row r="4653" spans="1:4" ht="12.95" customHeight="1" x14ac:dyDescent="0.25">
      <c r="A4653" s="2" t="s">
        <v>703</v>
      </c>
      <c r="B4653" s="2" t="s">
        <v>1154</v>
      </c>
      <c r="C4653" s="5" t="s">
        <v>1019</v>
      </c>
      <c r="D4653" s="2" t="s">
        <v>6083</v>
      </c>
    </row>
    <row r="4654" spans="1:4" ht="12.95" customHeight="1" x14ac:dyDescent="0.25">
      <c r="A4654" s="2" t="s">
        <v>703</v>
      </c>
      <c r="B4654" s="2" t="s">
        <v>1154</v>
      </c>
      <c r="C4654" s="5" t="s">
        <v>1021</v>
      </c>
      <c r="D4654" s="2" t="s">
        <v>6064</v>
      </c>
    </row>
    <row r="4655" spans="1:4" ht="12.95" customHeight="1" x14ac:dyDescent="0.25">
      <c r="A4655" s="2" t="s">
        <v>703</v>
      </c>
      <c r="B4655" s="2" t="s">
        <v>1154</v>
      </c>
      <c r="C4655" s="5" t="s">
        <v>1023</v>
      </c>
      <c r="D4655" s="2" t="s">
        <v>6084</v>
      </c>
    </row>
    <row r="4656" spans="1:4" ht="12.95" customHeight="1" x14ac:dyDescent="0.25">
      <c r="A4656" s="2" t="s">
        <v>703</v>
      </c>
      <c r="B4656" s="2" t="s">
        <v>1154</v>
      </c>
      <c r="C4656" s="5" t="s">
        <v>1025</v>
      </c>
      <c r="D4656" s="2" t="s">
        <v>6066</v>
      </c>
    </row>
    <row r="4657" spans="1:4" ht="12.95" customHeight="1" x14ac:dyDescent="0.25">
      <c r="A4657" s="2" t="s">
        <v>703</v>
      </c>
      <c r="B4657" s="2" t="s">
        <v>1154</v>
      </c>
      <c r="C4657" s="5" t="s">
        <v>1027</v>
      </c>
      <c r="D4657" s="2" t="s">
        <v>6067</v>
      </c>
    </row>
    <row r="4658" spans="1:4" ht="12.95" customHeight="1" x14ac:dyDescent="0.25">
      <c r="A4658" s="2" t="s">
        <v>703</v>
      </c>
      <c r="B4658" s="2" t="s">
        <v>1154</v>
      </c>
      <c r="C4658" s="5" t="s">
        <v>1029</v>
      </c>
      <c r="D4658" s="2" t="s">
        <v>6085</v>
      </c>
    </row>
    <row r="4659" spans="1:4" ht="12.95" customHeight="1" x14ac:dyDescent="0.25">
      <c r="A4659" s="2" t="s">
        <v>703</v>
      </c>
      <c r="B4659" s="2" t="s">
        <v>1154</v>
      </c>
      <c r="C4659" s="5" t="s">
        <v>1031</v>
      </c>
      <c r="D4659" s="2" t="s">
        <v>6086</v>
      </c>
    </row>
    <row r="4660" spans="1:4" ht="12.95" customHeight="1" x14ac:dyDescent="0.25">
      <c r="A4660" s="2" t="s">
        <v>703</v>
      </c>
      <c r="B4660" s="2" t="s">
        <v>1154</v>
      </c>
      <c r="C4660" s="5" t="s">
        <v>1033</v>
      </c>
      <c r="D4660" s="2" t="s">
        <v>1000</v>
      </c>
    </row>
    <row r="4661" spans="1:4" ht="12.95" customHeight="1" x14ac:dyDescent="0.25">
      <c r="A4661" s="2" t="s">
        <v>703</v>
      </c>
      <c r="B4661" s="2" t="s">
        <v>1154</v>
      </c>
      <c r="C4661" s="5" t="s">
        <v>1035</v>
      </c>
      <c r="D4661" s="2" t="s">
        <v>6087</v>
      </c>
    </row>
    <row r="4662" spans="1:4" ht="12.95" customHeight="1" x14ac:dyDescent="0.25">
      <c r="A4662" s="2" t="s">
        <v>703</v>
      </c>
      <c r="B4662" s="2" t="s">
        <v>1154</v>
      </c>
      <c r="C4662" s="5" t="s">
        <v>1177</v>
      </c>
      <c r="D4662" s="2" t="s">
        <v>6071</v>
      </c>
    </row>
    <row r="4663" spans="1:4" ht="12.95" customHeight="1" x14ac:dyDescent="0.25">
      <c r="A4663" s="2" t="s">
        <v>703</v>
      </c>
      <c r="B4663" s="2" t="s">
        <v>1154</v>
      </c>
      <c r="C4663" s="5" t="s">
        <v>1005</v>
      </c>
      <c r="D4663" s="2" t="s">
        <v>6088</v>
      </c>
    </row>
    <row r="4664" spans="1:4" ht="12.95" customHeight="1" x14ac:dyDescent="0.25">
      <c r="A4664" s="2" t="s">
        <v>705</v>
      </c>
      <c r="B4664" s="2" t="s">
        <v>1154</v>
      </c>
      <c r="C4664" s="5" t="s">
        <v>996</v>
      </c>
      <c r="D4664" s="2" t="s">
        <v>997</v>
      </c>
    </row>
    <row r="4665" spans="1:4" ht="12.95" customHeight="1" x14ac:dyDescent="0.25">
      <c r="A4665" s="2" t="s">
        <v>705</v>
      </c>
      <c r="B4665" s="2" t="s">
        <v>1154</v>
      </c>
      <c r="C4665" s="5" t="s">
        <v>978</v>
      </c>
      <c r="D4665" s="2" t="s">
        <v>1047</v>
      </c>
    </row>
    <row r="4666" spans="1:4" ht="12.95" customHeight="1" x14ac:dyDescent="0.25">
      <c r="A4666" s="2" t="s">
        <v>705</v>
      </c>
      <c r="B4666" s="2" t="s">
        <v>1154</v>
      </c>
      <c r="C4666" s="5" t="s">
        <v>980</v>
      </c>
      <c r="D4666" s="2" t="s">
        <v>1041</v>
      </c>
    </row>
    <row r="4667" spans="1:4" ht="12.95" customHeight="1" x14ac:dyDescent="0.25">
      <c r="A4667" s="2" t="s">
        <v>705</v>
      </c>
      <c r="B4667" s="2" t="s">
        <v>1154</v>
      </c>
      <c r="C4667" s="5" t="s">
        <v>982</v>
      </c>
      <c r="D4667" s="2" t="s">
        <v>983</v>
      </c>
    </row>
    <row r="4668" spans="1:4" ht="12.95" customHeight="1" x14ac:dyDescent="0.25">
      <c r="A4668" s="2" t="s">
        <v>705</v>
      </c>
      <c r="B4668" s="2" t="s">
        <v>1154</v>
      </c>
      <c r="C4668" s="5" t="s">
        <v>984</v>
      </c>
      <c r="D4668" s="2" t="s">
        <v>853</v>
      </c>
    </row>
    <row r="4669" spans="1:4" ht="12.95" customHeight="1" x14ac:dyDescent="0.25">
      <c r="A4669" s="2" t="s">
        <v>705</v>
      </c>
      <c r="B4669" s="2" t="s">
        <v>1154</v>
      </c>
      <c r="C4669" s="5" t="s">
        <v>986</v>
      </c>
      <c r="D4669" s="2" t="s">
        <v>6076</v>
      </c>
    </row>
    <row r="4670" spans="1:4" ht="12.95" customHeight="1" x14ac:dyDescent="0.25">
      <c r="A4670" s="2" t="s">
        <v>705</v>
      </c>
      <c r="B4670" s="2" t="s">
        <v>1154</v>
      </c>
      <c r="C4670" s="5" t="s">
        <v>988</v>
      </c>
      <c r="D4670" s="2" t="s">
        <v>6056</v>
      </c>
    </row>
    <row r="4671" spans="1:4" ht="12.95" customHeight="1" x14ac:dyDescent="0.25">
      <c r="A4671" s="2" t="s">
        <v>705</v>
      </c>
      <c r="B4671" s="2" t="s">
        <v>1154</v>
      </c>
      <c r="C4671" s="5" t="s">
        <v>990</v>
      </c>
      <c r="D4671" s="2" t="s">
        <v>6057</v>
      </c>
    </row>
    <row r="4672" spans="1:4" ht="12.95" customHeight="1" x14ac:dyDescent="0.25">
      <c r="A4672" s="2" t="s">
        <v>705</v>
      </c>
      <c r="B4672" s="2" t="s">
        <v>1154</v>
      </c>
      <c r="C4672" s="5" t="s">
        <v>992</v>
      </c>
      <c r="D4672" s="2" t="s">
        <v>6077</v>
      </c>
    </row>
    <row r="4673" spans="1:4" ht="12.95" customHeight="1" x14ac:dyDescent="0.25">
      <c r="A4673" s="2" t="s">
        <v>705</v>
      </c>
      <c r="B4673" s="2" t="s">
        <v>1154</v>
      </c>
      <c r="C4673" s="5" t="s">
        <v>994</v>
      </c>
      <c r="D4673" s="2" t="s">
        <v>6078</v>
      </c>
    </row>
    <row r="4674" spans="1:4" ht="12.95" customHeight="1" x14ac:dyDescent="0.25">
      <c r="A4674" s="2" t="s">
        <v>705</v>
      </c>
      <c r="B4674" s="2" t="s">
        <v>1154</v>
      </c>
      <c r="C4674" s="5" t="s">
        <v>1003</v>
      </c>
      <c r="D4674" s="2" t="s">
        <v>6079</v>
      </c>
    </row>
    <row r="4675" spans="1:4" ht="12.95" customHeight="1" x14ac:dyDescent="0.25">
      <c r="A4675" s="2" t="s">
        <v>705</v>
      </c>
      <c r="B4675" s="2" t="s">
        <v>1154</v>
      </c>
      <c r="C4675" s="5" t="s">
        <v>1013</v>
      </c>
      <c r="D4675" s="2" t="s">
        <v>6080</v>
      </c>
    </row>
    <row r="4676" spans="1:4" ht="12.95" customHeight="1" x14ac:dyDescent="0.25">
      <c r="A4676" s="2" t="s">
        <v>705</v>
      </c>
      <c r="B4676" s="2" t="s">
        <v>1154</v>
      </c>
      <c r="C4676" s="5" t="s">
        <v>1015</v>
      </c>
      <c r="D4676" s="2" t="s">
        <v>6081</v>
      </c>
    </row>
    <row r="4677" spans="1:4" ht="12.95" customHeight="1" x14ac:dyDescent="0.25">
      <c r="A4677" s="2" t="s">
        <v>705</v>
      </c>
      <c r="B4677" s="2" t="s">
        <v>1154</v>
      </c>
      <c r="C4677" s="5" t="s">
        <v>1017</v>
      </c>
      <c r="D4677" s="2" t="s">
        <v>6082</v>
      </c>
    </row>
    <row r="4678" spans="1:4" ht="12.95" customHeight="1" x14ac:dyDescent="0.25">
      <c r="A4678" s="2" t="s">
        <v>705</v>
      </c>
      <c r="B4678" s="2" t="s">
        <v>1154</v>
      </c>
      <c r="C4678" s="5" t="s">
        <v>1019</v>
      </c>
      <c r="D4678" s="2" t="s">
        <v>6083</v>
      </c>
    </row>
    <row r="4679" spans="1:4" ht="12.95" customHeight="1" x14ac:dyDescent="0.25">
      <c r="A4679" s="2" t="s">
        <v>705</v>
      </c>
      <c r="B4679" s="2" t="s">
        <v>1154</v>
      </c>
      <c r="C4679" s="5" t="s">
        <v>1021</v>
      </c>
      <c r="D4679" s="2" t="s">
        <v>6064</v>
      </c>
    </row>
    <row r="4680" spans="1:4" ht="12.95" customHeight="1" x14ac:dyDescent="0.25">
      <c r="A4680" s="2" t="s">
        <v>705</v>
      </c>
      <c r="B4680" s="2" t="s">
        <v>1154</v>
      </c>
      <c r="C4680" s="5" t="s">
        <v>1023</v>
      </c>
      <c r="D4680" s="2" t="s">
        <v>6084</v>
      </c>
    </row>
    <row r="4681" spans="1:4" ht="12.95" customHeight="1" x14ac:dyDescent="0.25">
      <c r="A4681" s="2" t="s">
        <v>705</v>
      </c>
      <c r="B4681" s="2" t="s">
        <v>1154</v>
      </c>
      <c r="C4681" s="5" t="s">
        <v>1025</v>
      </c>
      <c r="D4681" s="2" t="s">
        <v>6066</v>
      </c>
    </row>
    <row r="4682" spans="1:4" ht="12.95" customHeight="1" x14ac:dyDescent="0.25">
      <c r="A4682" s="2" t="s">
        <v>705</v>
      </c>
      <c r="B4682" s="2" t="s">
        <v>1154</v>
      </c>
      <c r="C4682" s="5" t="s">
        <v>1027</v>
      </c>
      <c r="D4682" s="2" t="s">
        <v>6067</v>
      </c>
    </row>
    <row r="4683" spans="1:4" ht="12.95" customHeight="1" x14ac:dyDescent="0.25">
      <c r="A4683" s="2" t="s">
        <v>705</v>
      </c>
      <c r="B4683" s="2" t="s">
        <v>1154</v>
      </c>
      <c r="C4683" s="5" t="s">
        <v>1029</v>
      </c>
      <c r="D4683" s="2" t="s">
        <v>6085</v>
      </c>
    </row>
    <row r="4684" spans="1:4" ht="12.95" customHeight="1" x14ac:dyDescent="0.25">
      <c r="A4684" s="2" t="s">
        <v>705</v>
      </c>
      <c r="B4684" s="2" t="s">
        <v>1154</v>
      </c>
      <c r="C4684" s="5" t="s">
        <v>1031</v>
      </c>
      <c r="D4684" s="2" t="s">
        <v>6086</v>
      </c>
    </row>
    <row r="4685" spans="1:4" ht="12.95" customHeight="1" x14ac:dyDescent="0.25">
      <c r="A4685" s="2" t="s">
        <v>705</v>
      </c>
      <c r="B4685" s="2" t="s">
        <v>1154</v>
      </c>
      <c r="C4685" s="5" t="s">
        <v>1033</v>
      </c>
      <c r="D4685" s="2" t="s">
        <v>1000</v>
      </c>
    </row>
    <row r="4686" spans="1:4" ht="12.95" customHeight="1" x14ac:dyDescent="0.25">
      <c r="A4686" s="2" t="s">
        <v>705</v>
      </c>
      <c r="B4686" s="2" t="s">
        <v>1154</v>
      </c>
      <c r="C4686" s="5" t="s">
        <v>1035</v>
      </c>
      <c r="D4686" s="2" t="s">
        <v>6087</v>
      </c>
    </row>
    <row r="4687" spans="1:4" ht="12.95" customHeight="1" x14ac:dyDescent="0.25">
      <c r="A4687" s="2" t="s">
        <v>705</v>
      </c>
      <c r="B4687" s="2" t="s">
        <v>1154</v>
      </c>
      <c r="C4687" s="5" t="s">
        <v>1177</v>
      </c>
      <c r="D4687" s="2" t="s">
        <v>6071</v>
      </c>
    </row>
    <row r="4688" spans="1:4" ht="12.95" customHeight="1" x14ac:dyDescent="0.25">
      <c r="A4688" s="2" t="s">
        <v>705</v>
      </c>
      <c r="B4688" s="2" t="s">
        <v>1154</v>
      </c>
      <c r="C4688" s="5" t="s">
        <v>1005</v>
      </c>
      <c r="D4688" s="2" t="s">
        <v>6088</v>
      </c>
    </row>
    <row r="4689" spans="1:4" ht="12.95" customHeight="1" x14ac:dyDescent="0.25">
      <c r="A4689" s="2" t="s">
        <v>707</v>
      </c>
      <c r="B4689" s="2" t="s">
        <v>1154</v>
      </c>
      <c r="C4689" s="5" t="s">
        <v>996</v>
      </c>
      <c r="D4689" s="2" t="s">
        <v>997</v>
      </c>
    </row>
    <row r="4690" spans="1:4" ht="12.95" customHeight="1" x14ac:dyDescent="0.25">
      <c r="A4690" s="2" t="s">
        <v>707</v>
      </c>
      <c r="B4690" s="2" t="s">
        <v>1154</v>
      </c>
      <c r="C4690" s="5" t="s">
        <v>978</v>
      </c>
      <c r="D4690" s="2" t="s">
        <v>1047</v>
      </c>
    </row>
    <row r="4691" spans="1:4" ht="12.95" customHeight="1" x14ac:dyDescent="0.25">
      <c r="A4691" s="2" t="s">
        <v>707</v>
      </c>
      <c r="B4691" s="2" t="s">
        <v>1154</v>
      </c>
      <c r="C4691" s="5" t="s">
        <v>980</v>
      </c>
      <c r="D4691" s="2" t="s">
        <v>1041</v>
      </c>
    </row>
    <row r="4692" spans="1:4" ht="12.95" customHeight="1" x14ac:dyDescent="0.25">
      <c r="A4692" s="2" t="s">
        <v>707</v>
      </c>
      <c r="B4692" s="2" t="s">
        <v>1154</v>
      </c>
      <c r="C4692" s="5" t="s">
        <v>982</v>
      </c>
      <c r="D4692" s="2" t="s">
        <v>983</v>
      </c>
    </row>
    <row r="4693" spans="1:4" ht="12.95" customHeight="1" x14ac:dyDescent="0.25">
      <c r="A4693" s="2" t="s">
        <v>707</v>
      </c>
      <c r="B4693" s="2" t="s">
        <v>1154</v>
      </c>
      <c r="C4693" s="5" t="s">
        <v>984</v>
      </c>
      <c r="D4693" s="2" t="s">
        <v>853</v>
      </c>
    </row>
    <row r="4694" spans="1:4" ht="12.95" customHeight="1" x14ac:dyDescent="0.25">
      <c r="A4694" s="2" t="s">
        <v>707</v>
      </c>
      <c r="B4694" s="2" t="s">
        <v>1154</v>
      </c>
      <c r="C4694" s="5" t="s">
        <v>986</v>
      </c>
      <c r="D4694" s="2" t="s">
        <v>6076</v>
      </c>
    </row>
    <row r="4695" spans="1:4" ht="12.95" customHeight="1" x14ac:dyDescent="0.25">
      <c r="A4695" s="2" t="s">
        <v>707</v>
      </c>
      <c r="B4695" s="2" t="s">
        <v>1154</v>
      </c>
      <c r="C4695" s="5" t="s">
        <v>988</v>
      </c>
      <c r="D4695" s="2" t="s">
        <v>6056</v>
      </c>
    </row>
    <row r="4696" spans="1:4" ht="12.95" customHeight="1" x14ac:dyDescent="0.25">
      <c r="A4696" s="2" t="s">
        <v>707</v>
      </c>
      <c r="B4696" s="2" t="s">
        <v>1154</v>
      </c>
      <c r="C4696" s="5" t="s">
        <v>990</v>
      </c>
      <c r="D4696" s="2" t="s">
        <v>6057</v>
      </c>
    </row>
    <row r="4697" spans="1:4" ht="12.95" customHeight="1" x14ac:dyDescent="0.25">
      <c r="A4697" s="2" t="s">
        <v>707</v>
      </c>
      <c r="B4697" s="2" t="s">
        <v>1154</v>
      </c>
      <c r="C4697" s="5" t="s">
        <v>992</v>
      </c>
      <c r="D4697" s="2" t="s">
        <v>6077</v>
      </c>
    </row>
    <row r="4698" spans="1:4" ht="12.95" customHeight="1" x14ac:dyDescent="0.25">
      <c r="A4698" s="2" t="s">
        <v>707</v>
      </c>
      <c r="B4698" s="2" t="s">
        <v>1154</v>
      </c>
      <c r="C4698" s="5" t="s">
        <v>994</v>
      </c>
      <c r="D4698" s="2" t="s">
        <v>6078</v>
      </c>
    </row>
    <row r="4699" spans="1:4" ht="12.95" customHeight="1" x14ac:dyDescent="0.25">
      <c r="A4699" s="2" t="s">
        <v>707</v>
      </c>
      <c r="B4699" s="2" t="s">
        <v>1154</v>
      </c>
      <c r="C4699" s="5" t="s">
        <v>1003</v>
      </c>
      <c r="D4699" s="2" t="s">
        <v>6079</v>
      </c>
    </row>
    <row r="4700" spans="1:4" ht="12.95" customHeight="1" x14ac:dyDescent="0.25">
      <c r="A4700" s="2" t="s">
        <v>707</v>
      </c>
      <c r="B4700" s="2" t="s">
        <v>1154</v>
      </c>
      <c r="C4700" s="5" t="s">
        <v>1013</v>
      </c>
      <c r="D4700" s="2" t="s">
        <v>6080</v>
      </c>
    </row>
    <row r="4701" spans="1:4" ht="12.95" customHeight="1" x14ac:dyDescent="0.25">
      <c r="A4701" s="2" t="s">
        <v>707</v>
      </c>
      <c r="B4701" s="2" t="s">
        <v>1154</v>
      </c>
      <c r="C4701" s="5" t="s">
        <v>1015</v>
      </c>
      <c r="D4701" s="2" t="s">
        <v>6081</v>
      </c>
    </row>
    <row r="4702" spans="1:4" ht="12.95" customHeight="1" x14ac:dyDescent="0.25">
      <c r="A4702" s="2" t="s">
        <v>707</v>
      </c>
      <c r="B4702" s="2" t="s">
        <v>1154</v>
      </c>
      <c r="C4702" s="5" t="s">
        <v>1017</v>
      </c>
      <c r="D4702" s="2" t="s">
        <v>6082</v>
      </c>
    </row>
    <row r="4703" spans="1:4" ht="12.95" customHeight="1" x14ac:dyDescent="0.25">
      <c r="A4703" s="2" t="s">
        <v>707</v>
      </c>
      <c r="B4703" s="2" t="s">
        <v>1154</v>
      </c>
      <c r="C4703" s="5" t="s">
        <v>1019</v>
      </c>
      <c r="D4703" s="2" t="s">
        <v>6083</v>
      </c>
    </row>
    <row r="4704" spans="1:4" ht="12.95" customHeight="1" x14ac:dyDescent="0.25">
      <c r="A4704" s="2" t="s">
        <v>707</v>
      </c>
      <c r="B4704" s="2" t="s">
        <v>1154</v>
      </c>
      <c r="C4704" s="5" t="s">
        <v>1021</v>
      </c>
      <c r="D4704" s="2" t="s">
        <v>6064</v>
      </c>
    </row>
    <row r="4705" spans="1:4" ht="12.95" customHeight="1" x14ac:dyDescent="0.25">
      <c r="A4705" s="2" t="s">
        <v>707</v>
      </c>
      <c r="B4705" s="2" t="s">
        <v>1154</v>
      </c>
      <c r="C4705" s="5" t="s">
        <v>1023</v>
      </c>
      <c r="D4705" s="2" t="s">
        <v>6084</v>
      </c>
    </row>
    <row r="4706" spans="1:4" ht="12.95" customHeight="1" x14ac:dyDescent="0.25">
      <c r="A4706" s="2" t="s">
        <v>707</v>
      </c>
      <c r="B4706" s="2" t="s">
        <v>1154</v>
      </c>
      <c r="C4706" s="5" t="s">
        <v>1025</v>
      </c>
      <c r="D4706" s="2" t="s">
        <v>6066</v>
      </c>
    </row>
    <row r="4707" spans="1:4" ht="12.95" customHeight="1" x14ac:dyDescent="0.25">
      <c r="A4707" s="2" t="s">
        <v>707</v>
      </c>
      <c r="B4707" s="2" t="s">
        <v>1154</v>
      </c>
      <c r="C4707" s="5" t="s">
        <v>1027</v>
      </c>
      <c r="D4707" s="2" t="s">
        <v>6067</v>
      </c>
    </row>
    <row r="4708" spans="1:4" ht="12.95" customHeight="1" x14ac:dyDescent="0.25">
      <c r="A4708" s="2" t="s">
        <v>707</v>
      </c>
      <c r="B4708" s="2" t="s">
        <v>1154</v>
      </c>
      <c r="C4708" s="5" t="s">
        <v>1029</v>
      </c>
      <c r="D4708" s="2" t="s">
        <v>6085</v>
      </c>
    </row>
    <row r="4709" spans="1:4" ht="12.95" customHeight="1" x14ac:dyDescent="0.25">
      <c r="A4709" s="2" t="s">
        <v>707</v>
      </c>
      <c r="B4709" s="2" t="s">
        <v>1154</v>
      </c>
      <c r="C4709" s="5" t="s">
        <v>1031</v>
      </c>
      <c r="D4709" s="2" t="s">
        <v>6086</v>
      </c>
    </row>
    <row r="4710" spans="1:4" ht="12.95" customHeight="1" x14ac:dyDescent="0.25">
      <c r="A4710" s="2" t="s">
        <v>707</v>
      </c>
      <c r="B4710" s="2" t="s">
        <v>1154</v>
      </c>
      <c r="C4710" s="5" t="s">
        <v>1033</v>
      </c>
      <c r="D4710" s="2" t="s">
        <v>1000</v>
      </c>
    </row>
    <row r="4711" spans="1:4" ht="12.95" customHeight="1" x14ac:dyDescent="0.25">
      <c r="A4711" s="2" t="s">
        <v>707</v>
      </c>
      <c r="B4711" s="2" t="s">
        <v>1154</v>
      </c>
      <c r="C4711" s="5" t="s">
        <v>1035</v>
      </c>
      <c r="D4711" s="2" t="s">
        <v>6087</v>
      </c>
    </row>
    <row r="4712" spans="1:4" ht="12.95" customHeight="1" x14ac:dyDescent="0.25">
      <c r="A4712" s="2" t="s">
        <v>707</v>
      </c>
      <c r="B4712" s="2" t="s">
        <v>1154</v>
      </c>
      <c r="C4712" s="5" t="s">
        <v>1177</v>
      </c>
      <c r="D4712" s="2" t="s">
        <v>6071</v>
      </c>
    </row>
    <row r="4713" spans="1:4" ht="12.95" customHeight="1" x14ac:dyDescent="0.25">
      <c r="A4713" s="2" t="s">
        <v>707</v>
      </c>
      <c r="B4713" s="2" t="s">
        <v>1154</v>
      </c>
      <c r="C4713" s="5" t="s">
        <v>1005</v>
      </c>
      <c r="D4713" s="2" t="s">
        <v>6088</v>
      </c>
    </row>
    <row r="4714" spans="1:4" ht="12.95" customHeight="1" x14ac:dyDescent="0.25">
      <c r="A4714" s="2" t="s">
        <v>709</v>
      </c>
      <c r="B4714" s="2" t="s">
        <v>1154</v>
      </c>
      <c r="C4714" s="5" t="s">
        <v>996</v>
      </c>
      <c r="D4714" s="2" t="s">
        <v>997</v>
      </c>
    </row>
    <row r="4715" spans="1:4" ht="12.95" customHeight="1" x14ac:dyDescent="0.25">
      <c r="A4715" s="2" t="s">
        <v>709</v>
      </c>
      <c r="B4715" s="2" t="s">
        <v>1154</v>
      </c>
      <c r="C4715" s="5" t="s">
        <v>978</v>
      </c>
      <c r="D4715" s="2" t="s">
        <v>1047</v>
      </c>
    </row>
    <row r="4716" spans="1:4" ht="12.95" customHeight="1" x14ac:dyDescent="0.25">
      <c r="A4716" s="2" t="s">
        <v>709</v>
      </c>
      <c r="B4716" s="2" t="s">
        <v>1154</v>
      </c>
      <c r="C4716" s="5" t="s">
        <v>980</v>
      </c>
      <c r="D4716" s="2" t="s">
        <v>1041</v>
      </c>
    </row>
    <row r="4717" spans="1:4" ht="12.95" customHeight="1" x14ac:dyDescent="0.25">
      <c r="A4717" s="2" t="s">
        <v>709</v>
      </c>
      <c r="B4717" s="2" t="s">
        <v>1154</v>
      </c>
      <c r="C4717" s="5" t="s">
        <v>982</v>
      </c>
      <c r="D4717" s="2" t="s">
        <v>983</v>
      </c>
    </row>
    <row r="4718" spans="1:4" ht="12.95" customHeight="1" x14ac:dyDescent="0.25">
      <c r="A4718" s="2" t="s">
        <v>712</v>
      </c>
      <c r="B4718" s="2" t="s">
        <v>1060</v>
      </c>
      <c r="C4718" s="5" t="s">
        <v>996</v>
      </c>
      <c r="D4718" s="2" t="s">
        <v>997</v>
      </c>
    </row>
    <row r="4719" spans="1:4" ht="12.95" customHeight="1" x14ac:dyDescent="0.25">
      <c r="A4719" s="2" t="s">
        <v>712</v>
      </c>
      <c r="B4719" s="2" t="s">
        <v>1060</v>
      </c>
      <c r="C4719" s="5" t="s">
        <v>982</v>
      </c>
      <c r="D4719" s="2" t="s">
        <v>983</v>
      </c>
    </row>
    <row r="4720" spans="1:4" ht="12.95" customHeight="1" x14ac:dyDescent="0.25">
      <c r="A4720" s="2" t="s">
        <v>714</v>
      </c>
      <c r="B4720" s="2" t="s">
        <v>1040</v>
      </c>
      <c r="C4720" s="5" t="s">
        <v>978</v>
      </c>
      <c r="D4720" s="2" t="s">
        <v>1047</v>
      </c>
    </row>
    <row r="4721" spans="1:4" ht="12.95" customHeight="1" x14ac:dyDescent="0.25">
      <c r="A4721" s="2" t="s">
        <v>714</v>
      </c>
      <c r="B4721" s="2" t="s">
        <v>1040</v>
      </c>
      <c r="C4721" s="5" t="s">
        <v>980</v>
      </c>
      <c r="D4721" s="2" t="s">
        <v>981</v>
      </c>
    </row>
    <row r="4722" spans="1:4" ht="12.95" customHeight="1" x14ac:dyDescent="0.25">
      <c r="A4722" s="2" t="s">
        <v>714</v>
      </c>
      <c r="B4722" s="2" t="s">
        <v>1040</v>
      </c>
      <c r="C4722" s="5" t="s">
        <v>982</v>
      </c>
      <c r="D4722" s="2" t="s">
        <v>983</v>
      </c>
    </row>
    <row r="4723" spans="1:4" ht="12.95" customHeight="1" x14ac:dyDescent="0.25">
      <c r="A4723" s="2" t="s">
        <v>714</v>
      </c>
      <c r="B4723" s="2" t="s">
        <v>1040</v>
      </c>
      <c r="C4723" s="5" t="s">
        <v>984</v>
      </c>
      <c r="D4723" s="2" t="s">
        <v>1042</v>
      </c>
    </row>
    <row r="4724" spans="1:4" ht="12.95" customHeight="1" x14ac:dyDescent="0.25">
      <c r="A4724" s="2" t="s">
        <v>714</v>
      </c>
      <c r="B4724" s="2" t="s">
        <v>1040</v>
      </c>
      <c r="C4724" s="5" t="s">
        <v>986</v>
      </c>
      <c r="D4724" s="2" t="s">
        <v>1064</v>
      </c>
    </row>
    <row r="4725" spans="1:4" ht="12.95" customHeight="1" x14ac:dyDescent="0.25">
      <c r="A4725" s="2" t="s">
        <v>714</v>
      </c>
      <c r="B4725" s="2" t="s">
        <v>1040</v>
      </c>
      <c r="C4725" s="5" t="s">
        <v>988</v>
      </c>
      <c r="D4725" s="2" t="s">
        <v>1044</v>
      </c>
    </row>
    <row r="4726" spans="1:4" ht="12.95" customHeight="1" x14ac:dyDescent="0.25">
      <c r="A4726" s="2" t="s">
        <v>714</v>
      </c>
      <c r="B4726" s="2" t="s">
        <v>1040</v>
      </c>
      <c r="C4726" s="5" t="s">
        <v>990</v>
      </c>
      <c r="D4726" s="2" t="s">
        <v>1045</v>
      </c>
    </row>
    <row r="4727" spans="1:4" ht="12.95" customHeight="1" x14ac:dyDescent="0.25">
      <c r="A4727" s="2" t="s">
        <v>714</v>
      </c>
      <c r="B4727" s="2" t="s">
        <v>1040</v>
      </c>
      <c r="C4727" s="5" t="s">
        <v>992</v>
      </c>
      <c r="D4727" s="2" t="s">
        <v>5998</v>
      </c>
    </row>
    <row r="4728" spans="1:4" ht="12.95" customHeight="1" x14ac:dyDescent="0.25">
      <c r="A4728" s="2" t="s">
        <v>717</v>
      </c>
      <c r="B4728" s="2" t="s">
        <v>1040</v>
      </c>
      <c r="C4728" s="5" t="s">
        <v>984</v>
      </c>
      <c r="D4728" s="2" t="s">
        <v>6089</v>
      </c>
    </row>
    <row r="4729" spans="1:4" ht="12.95" customHeight="1" x14ac:dyDescent="0.25">
      <c r="A4729" s="2" t="s">
        <v>717</v>
      </c>
      <c r="B4729" s="2" t="s">
        <v>1040</v>
      </c>
      <c r="C4729" s="5" t="s">
        <v>986</v>
      </c>
      <c r="D4729" s="2" t="s">
        <v>6090</v>
      </c>
    </row>
    <row r="4730" spans="1:4" ht="12.95" customHeight="1" x14ac:dyDescent="0.25">
      <c r="A4730" s="2" t="s">
        <v>717</v>
      </c>
      <c r="B4730" s="2" t="s">
        <v>1040</v>
      </c>
      <c r="C4730" s="5" t="s">
        <v>988</v>
      </c>
      <c r="D4730" s="2" t="s">
        <v>6091</v>
      </c>
    </row>
    <row r="4731" spans="1:4" ht="12.95" customHeight="1" x14ac:dyDescent="0.25">
      <c r="A4731" s="2" t="s">
        <v>717</v>
      </c>
      <c r="B4731" s="2" t="s">
        <v>1040</v>
      </c>
      <c r="C4731" s="5" t="s">
        <v>990</v>
      </c>
      <c r="D4731" s="2" t="s">
        <v>6092</v>
      </c>
    </row>
    <row r="4732" spans="1:4" ht="12.95" customHeight="1" x14ac:dyDescent="0.25">
      <c r="A4732" s="2" t="s">
        <v>717</v>
      </c>
      <c r="B4732" s="2" t="s">
        <v>1040</v>
      </c>
      <c r="C4732" s="5" t="s">
        <v>992</v>
      </c>
      <c r="D4732" s="2" t="s">
        <v>6093</v>
      </c>
    </row>
    <row r="4733" spans="1:4" ht="12.95" customHeight="1" x14ac:dyDescent="0.25">
      <c r="A4733" s="2" t="s">
        <v>717</v>
      </c>
      <c r="B4733" s="2" t="s">
        <v>1040</v>
      </c>
      <c r="C4733" s="5" t="s">
        <v>994</v>
      </c>
      <c r="D4733" s="2" t="s">
        <v>6094</v>
      </c>
    </row>
    <row r="4734" spans="1:4" ht="12.95" customHeight="1" x14ac:dyDescent="0.25">
      <c r="A4734" s="2" t="s">
        <v>717</v>
      </c>
      <c r="B4734" s="2" t="s">
        <v>1040</v>
      </c>
      <c r="C4734" s="5" t="s">
        <v>1003</v>
      </c>
      <c r="D4734" s="2" t="s">
        <v>6095</v>
      </c>
    </row>
    <row r="4735" spans="1:4" ht="12.95" customHeight="1" x14ac:dyDescent="0.25">
      <c r="A4735" s="2" t="s">
        <v>719</v>
      </c>
      <c r="B4735" s="2" t="s">
        <v>1154</v>
      </c>
      <c r="C4735" s="5" t="s">
        <v>996</v>
      </c>
      <c r="D4735" s="2" t="s">
        <v>997</v>
      </c>
    </row>
    <row r="4736" spans="1:4" ht="12.95" customHeight="1" x14ac:dyDescent="0.25">
      <c r="A4736" s="2" t="s">
        <v>719</v>
      </c>
      <c r="B4736" s="2" t="s">
        <v>1154</v>
      </c>
      <c r="C4736" s="5" t="s">
        <v>978</v>
      </c>
      <c r="D4736" s="2" t="s">
        <v>979</v>
      </c>
    </row>
    <row r="4737" spans="1:4" ht="12.95" customHeight="1" x14ac:dyDescent="0.25">
      <c r="A4737" s="2" t="s">
        <v>719</v>
      </c>
      <c r="B4737" s="2" t="s">
        <v>1154</v>
      </c>
      <c r="C4737" s="5" t="s">
        <v>980</v>
      </c>
      <c r="D4737" s="2" t="s">
        <v>981</v>
      </c>
    </row>
    <row r="4738" spans="1:4" ht="12.95" customHeight="1" x14ac:dyDescent="0.25">
      <c r="A4738" s="2" t="s">
        <v>719</v>
      </c>
      <c r="B4738" s="2" t="s">
        <v>1154</v>
      </c>
      <c r="C4738" s="5" t="s">
        <v>982</v>
      </c>
      <c r="D4738" s="2" t="s">
        <v>983</v>
      </c>
    </row>
    <row r="4739" spans="1:4" ht="12.95" customHeight="1" x14ac:dyDescent="0.25">
      <c r="A4739" s="2" t="s">
        <v>719</v>
      </c>
      <c r="B4739" s="2" t="s">
        <v>1154</v>
      </c>
      <c r="C4739" s="5" t="s">
        <v>984</v>
      </c>
      <c r="D4739" s="2" t="s">
        <v>853</v>
      </c>
    </row>
    <row r="4740" spans="1:4" ht="12.95" customHeight="1" x14ac:dyDescent="0.25">
      <c r="A4740" s="2" t="s">
        <v>719</v>
      </c>
      <c r="B4740" s="2" t="s">
        <v>1154</v>
      </c>
      <c r="C4740" s="5" t="s">
        <v>986</v>
      </c>
      <c r="D4740" s="2" t="s">
        <v>6076</v>
      </c>
    </row>
    <row r="4741" spans="1:4" ht="12.95" customHeight="1" x14ac:dyDescent="0.25">
      <c r="A4741" s="2" t="s">
        <v>719</v>
      </c>
      <c r="B4741" s="2" t="s">
        <v>1154</v>
      </c>
      <c r="C4741" s="5" t="s">
        <v>988</v>
      </c>
      <c r="D4741" s="2" t="s">
        <v>6096</v>
      </c>
    </row>
    <row r="4742" spans="1:4" ht="12.95" customHeight="1" x14ac:dyDescent="0.25">
      <c r="A4742" s="2" t="s">
        <v>719</v>
      </c>
      <c r="B4742" s="2" t="s">
        <v>1154</v>
      </c>
      <c r="C4742" s="5" t="s">
        <v>990</v>
      </c>
      <c r="D4742" s="2" t="s">
        <v>6057</v>
      </c>
    </row>
    <row r="4743" spans="1:4" ht="12.95" customHeight="1" x14ac:dyDescent="0.25">
      <c r="A4743" s="2" t="s">
        <v>719</v>
      </c>
      <c r="B4743" s="2" t="s">
        <v>1154</v>
      </c>
      <c r="C4743" s="5" t="s">
        <v>992</v>
      </c>
      <c r="D4743" s="2" t="s">
        <v>6077</v>
      </c>
    </row>
    <row r="4744" spans="1:4" ht="12.95" customHeight="1" x14ac:dyDescent="0.25">
      <c r="A4744" s="2" t="s">
        <v>719</v>
      </c>
      <c r="B4744" s="2" t="s">
        <v>1154</v>
      </c>
      <c r="C4744" s="5" t="s">
        <v>994</v>
      </c>
      <c r="D4744" s="2" t="s">
        <v>6078</v>
      </c>
    </row>
    <row r="4745" spans="1:4" ht="12.95" customHeight="1" x14ac:dyDescent="0.25">
      <c r="A4745" s="2" t="s">
        <v>719</v>
      </c>
      <c r="B4745" s="2" t="s">
        <v>1154</v>
      </c>
      <c r="C4745" s="5" t="s">
        <v>1003</v>
      </c>
      <c r="D4745" s="2" t="s">
        <v>6079</v>
      </c>
    </row>
    <row r="4746" spans="1:4" ht="12.95" customHeight="1" x14ac:dyDescent="0.25">
      <c r="A4746" s="2" t="s">
        <v>719</v>
      </c>
      <c r="B4746" s="2" t="s">
        <v>1154</v>
      </c>
      <c r="C4746" s="5" t="s">
        <v>1013</v>
      </c>
      <c r="D4746" s="2" t="s">
        <v>6080</v>
      </c>
    </row>
    <row r="4747" spans="1:4" ht="12.95" customHeight="1" x14ac:dyDescent="0.25">
      <c r="A4747" s="2" t="s">
        <v>719</v>
      </c>
      <c r="B4747" s="2" t="s">
        <v>1154</v>
      </c>
      <c r="C4747" s="5" t="s">
        <v>1015</v>
      </c>
      <c r="D4747" s="2" t="s">
        <v>6081</v>
      </c>
    </row>
    <row r="4748" spans="1:4" ht="12.95" customHeight="1" x14ac:dyDescent="0.25">
      <c r="A4748" s="2" t="s">
        <v>719</v>
      </c>
      <c r="B4748" s="2" t="s">
        <v>1154</v>
      </c>
      <c r="C4748" s="5" t="s">
        <v>1017</v>
      </c>
      <c r="D4748" s="2" t="s">
        <v>6082</v>
      </c>
    </row>
    <row r="4749" spans="1:4" ht="12.95" customHeight="1" x14ac:dyDescent="0.25">
      <c r="A4749" s="2" t="s">
        <v>719</v>
      </c>
      <c r="B4749" s="2" t="s">
        <v>1154</v>
      </c>
      <c r="C4749" s="5" t="s">
        <v>1019</v>
      </c>
      <c r="D4749" s="2" t="s">
        <v>6083</v>
      </c>
    </row>
    <row r="4750" spans="1:4" ht="12.95" customHeight="1" x14ac:dyDescent="0.25">
      <c r="A4750" s="2" t="s">
        <v>719</v>
      </c>
      <c r="B4750" s="2" t="s">
        <v>1154</v>
      </c>
      <c r="C4750" s="5" t="s">
        <v>1021</v>
      </c>
      <c r="D4750" s="2" t="s">
        <v>6064</v>
      </c>
    </row>
    <row r="4751" spans="1:4" ht="12.95" customHeight="1" x14ac:dyDescent="0.25">
      <c r="A4751" s="2" t="s">
        <v>719</v>
      </c>
      <c r="B4751" s="2" t="s">
        <v>1154</v>
      </c>
      <c r="C4751" s="5" t="s">
        <v>1023</v>
      </c>
      <c r="D4751" s="2" t="s">
        <v>6084</v>
      </c>
    </row>
    <row r="4752" spans="1:4" ht="12.95" customHeight="1" x14ac:dyDescent="0.25">
      <c r="A4752" s="2" t="s">
        <v>719</v>
      </c>
      <c r="B4752" s="2" t="s">
        <v>1154</v>
      </c>
      <c r="C4752" s="5" t="s">
        <v>1025</v>
      </c>
      <c r="D4752" s="2" t="s">
        <v>6066</v>
      </c>
    </row>
    <row r="4753" spans="1:4" ht="12.95" customHeight="1" x14ac:dyDescent="0.25">
      <c r="A4753" s="2" t="s">
        <v>719</v>
      </c>
      <c r="B4753" s="2" t="s">
        <v>1154</v>
      </c>
      <c r="C4753" s="5" t="s">
        <v>1027</v>
      </c>
      <c r="D4753" s="2" t="s">
        <v>6067</v>
      </c>
    </row>
    <row r="4754" spans="1:4" ht="12.95" customHeight="1" x14ac:dyDescent="0.25">
      <c r="A4754" s="2" t="s">
        <v>719</v>
      </c>
      <c r="B4754" s="2" t="s">
        <v>1154</v>
      </c>
      <c r="C4754" s="5" t="s">
        <v>1029</v>
      </c>
      <c r="D4754" s="2" t="s">
        <v>6068</v>
      </c>
    </row>
    <row r="4755" spans="1:4" ht="12.95" customHeight="1" x14ac:dyDescent="0.25">
      <c r="A4755" s="2" t="s">
        <v>719</v>
      </c>
      <c r="B4755" s="2" t="s">
        <v>1154</v>
      </c>
      <c r="C4755" s="5" t="s">
        <v>1031</v>
      </c>
      <c r="D4755" s="2" t="s">
        <v>6069</v>
      </c>
    </row>
    <row r="4756" spans="1:4" ht="12.95" customHeight="1" x14ac:dyDescent="0.25">
      <c r="A4756" s="2" t="s">
        <v>719</v>
      </c>
      <c r="B4756" s="2" t="s">
        <v>1154</v>
      </c>
      <c r="C4756" s="5" t="s">
        <v>1033</v>
      </c>
      <c r="D4756" s="2" t="s">
        <v>6070</v>
      </c>
    </row>
    <row r="4757" spans="1:4" ht="12.95" customHeight="1" x14ac:dyDescent="0.25">
      <c r="A4757" s="2" t="s">
        <v>719</v>
      </c>
      <c r="B4757" s="2" t="s">
        <v>1154</v>
      </c>
      <c r="C4757" s="5" t="s">
        <v>1035</v>
      </c>
      <c r="D4757" s="2" t="s">
        <v>3129</v>
      </c>
    </row>
    <row r="4758" spans="1:4" ht="12.95" customHeight="1" x14ac:dyDescent="0.25">
      <c r="A4758" s="2" t="s">
        <v>719</v>
      </c>
      <c r="B4758" s="2" t="s">
        <v>1154</v>
      </c>
      <c r="C4758" s="5" t="s">
        <v>1177</v>
      </c>
      <c r="D4758" s="2" t="s">
        <v>6071</v>
      </c>
    </row>
    <row r="4759" spans="1:4" ht="12.95" customHeight="1" x14ac:dyDescent="0.25">
      <c r="A4759" s="2" t="s">
        <v>719</v>
      </c>
      <c r="B4759" s="2" t="s">
        <v>1154</v>
      </c>
      <c r="C4759" s="5" t="s">
        <v>1005</v>
      </c>
      <c r="D4759" s="2" t="s">
        <v>1006</v>
      </c>
    </row>
    <row r="4760" spans="1:4" ht="12.95" customHeight="1" x14ac:dyDescent="0.25">
      <c r="A4760" s="2" t="s">
        <v>722</v>
      </c>
      <c r="B4760" s="2" t="s">
        <v>1154</v>
      </c>
      <c r="C4760" s="5" t="s">
        <v>996</v>
      </c>
      <c r="D4760" s="2" t="s">
        <v>997</v>
      </c>
    </row>
    <row r="4761" spans="1:4" ht="12.95" customHeight="1" x14ac:dyDescent="0.25">
      <c r="A4761" s="2" t="s">
        <v>722</v>
      </c>
      <c r="B4761" s="2" t="s">
        <v>1154</v>
      </c>
      <c r="C4761" s="5" t="s">
        <v>978</v>
      </c>
      <c r="D4761" s="2" t="s">
        <v>979</v>
      </c>
    </row>
    <row r="4762" spans="1:4" ht="12.95" customHeight="1" x14ac:dyDescent="0.25">
      <c r="A4762" s="2" t="s">
        <v>722</v>
      </c>
      <c r="B4762" s="2" t="s">
        <v>1154</v>
      </c>
      <c r="C4762" s="5" t="s">
        <v>980</v>
      </c>
      <c r="D4762" s="2" t="s">
        <v>981</v>
      </c>
    </row>
    <row r="4763" spans="1:4" ht="12.95" customHeight="1" x14ac:dyDescent="0.25">
      <c r="A4763" s="2" t="s">
        <v>722</v>
      </c>
      <c r="B4763" s="2" t="s">
        <v>1154</v>
      </c>
      <c r="C4763" s="5" t="s">
        <v>982</v>
      </c>
      <c r="D4763" s="2" t="s">
        <v>983</v>
      </c>
    </row>
    <row r="4764" spans="1:4" ht="12.95" customHeight="1" x14ac:dyDescent="0.25">
      <c r="A4764" s="2" t="s">
        <v>722</v>
      </c>
      <c r="B4764" s="2" t="s">
        <v>1154</v>
      </c>
      <c r="C4764" s="5" t="s">
        <v>984</v>
      </c>
      <c r="D4764" s="2" t="s">
        <v>853</v>
      </c>
    </row>
    <row r="4765" spans="1:4" ht="12.95" customHeight="1" x14ac:dyDescent="0.25">
      <c r="A4765" s="2" t="s">
        <v>722</v>
      </c>
      <c r="B4765" s="2" t="s">
        <v>1154</v>
      </c>
      <c r="C4765" s="5" t="s">
        <v>986</v>
      </c>
      <c r="D4765" s="2" t="s">
        <v>6076</v>
      </c>
    </row>
    <row r="4766" spans="1:4" ht="12.95" customHeight="1" x14ac:dyDescent="0.25">
      <c r="A4766" s="2" t="s">
        <v>722</v>
      </c>
      <c r="B4766" s="2" t="s">
        <v>1154</v>
      </c>
      <c r="C4766" s="5" t="s">
        <v>988</v>
      </c>
      <c r="D4766" s="2" t="s">
        <v>6096</v>
      </c>
    </row>
    <row r="4767" spans="1:4" ht="12.95" customHeight="1" x14ac:dyDescent="0.25">
      <c r="A4767" s="2" t="s">
        <v>722</v>
      </c>
      <c r="B4767" s="2" t="s">
        <v>1154</v>
      </c>
      <c r="C4767" s="5" t="s">
        <v>990</v>
      </c>
      <c r="D4767" s="2" t="s">
        <v>6057</v>
      </c>
    </row>
    <row r="4768" spans="1:4" ht="12.95" customHeight="1" x14ac:dyDescent="0.25">
      <c r="A4768" s="2" t="s">
        <v>722</v>
      </c>
      <c r="B4768" s="2" t="s">
        <v>1154</v>
      </c>
      <c r="C4768" s="5" t="s">
        <v>992</v>
      </c>
      <c r="D4768" s="2" t="s">
        <v>6077</v>
      </c>
    </row>
    <row r="4769" spans="1:4" ht="12.95" customHeight="1" x14ac:dyDescent="0.25">
      <c r="A4769" s="2" t="s">
        <v>722</v>
      </c>
      <c r="B4769" s="2" t="s">
        <v>1154</v>
      </c>
      <c r="C4769" s="5" t="s">
        <v>994</v>
      </c>
      <c r="D4769" s="2" t="s">
        <v>6078</v>
      </c>
    </row>
    <row r="4770" spans="1:4" ht="12.95" customHeight="1" x14ac:dyDescent="0.25">
      <c r="A4770" s="2" t="s">
        <v>722</v>
      </c>
      <c r="B4770" s="2" t="s">
        <v>1154</v>
      </c>
      <c r="C4770" s="5" t="s">
        <v>1003</v>
      </c>
      <c r="D4770" s="2" t="s">
        <v>6079</v>
      </c>
    </row>
    <row r="4771" spans="1:4" ht="12.95" customHeight="1" x14ac:dyDescent="0.25">
      <c r="A4771" s="2" t="s">
        <v>722</v>
      </c>
      <c r="B4771" s="2" t="s">
        <v>1154</v>
      </c>
      <c r="C4771" s="5" t="s">
        <v>1013</v>
      </c>
      <c r="D4771" s="2" t="s">
        <v>6080</v>
      </c>
    </row>
    <row r="4772" spans="1:4" ht="12.95" customHeight="1" x14ac:dyDescent="0.25">
      <c r="A4772" s="2" t="s">
        <v>722</v>
      </c>
      <c r="B4772" s="2" t="s">
        <v>1154</v>
      </c>
      <c r="C4772" s="5" t="s">
        <v>1015</v>
      </c>
      <c r="D4772" s="2" t="s">
        <v>6081</v>
      </c>
    </row>
    <row r="4773" spans="1:4" ht="12.95" customHeight="1" x14ac:dyDescent="0.25">
      <c r="A4773" s="2" t="s">
        <v>722</v>
      </c>
      <c r="B4773" s="2" t="s">
        <v>1154</v>
      </c>
      <c r="C4773" s="5" t="s">
        <v>1017</v>
      </c>
      <c r="D4773" s="2" t="s">
        <v>6082</v>
      </c>
    </row>
    <row r="4774" spans="1:4" ht="12.95" customHeight="1" x14ac:dyDescent="0.25">
      <c r="A4774" s="2" t="s">
        <v>722</v>
      </c>
      <c r="B4774" s="2" t="s">
        <v>1154</v>
      </c>
      <c r="C4774" s="5" t="s">
        <v>1019</v>
      </c>
      <c r="D4774" s="2" t="s">
        <v>6083</v>
      </c>
    </row>
    <row r="4775" spans="1:4" ht="12.95" customHeight="1" x14ac:dyDescent="0.25">
      <c r="A4775" s="2" t="s">
        <v>722</v>
      </c>
      <c r="B4775" s="2" t="s">
        <v>1154</v>
      </c>
      <c r="C4775" s="5" t="s">
        <v>1021</v>
      </c>
      <c r="D4775" s="2" t="s">
        <v>6064</v>
      </c>
    </row>
    <row r="4776" spans="1:4" ht="12.95" customHeight="1" x14ac:dyDescent="0.25">
      <c r="A4776" s="2" t="s">
        <v>722</v>
      </c>
      <c r="B4776" s="2" t="s">
        <v>1154</v>
      </c>
      <c r="C4776" s="5" t="s">
        <v>1023</v>
      </c>
      <c r="D4776" s="2" t="s">
        <v>6084</v>
      </c>
    </row>
    <row r="4777" spans="1:4" ht="12.95" customHeight="1" x14ac:dyDescent="0.25">
      <c r="A4777" s="2" t="s">
        <v>722</v>
      </c>
      <c r="B4777" s="2" t="s">
        <v>1154</v>
      </c>
      <c r="C4777" s="5" t="s">
        <v>1025</v>
      </c>
      <c r="D4777" s="2" t="s">
        <v>6066</v>
      </c>
    </row>
    <row r="4778" spans="1:4" ht="12.95" customHeight="1" x14ac:dyDescent="0.25">
      <c r="A4778" s="2" t="s">
        <v>722</v>
      </c>
      <c r="B4778" s="2" t="s">
        <v>1154</v>
      </c>
      <c r="C4778" s="5" t="s">
        <v>1027</v>
      </c>
      <c r="D4778" s="2" t="s">
        <v>6067</v>
      </c>
    </row>
    <row r="4779" spans="1:4" ht="12.95" customHeight="1" x14ac:dyDescent="0.25">
      <c r="A4779" s="2" t="s">
        <v>722</v>
      </c>
      <c r="B4779" s="2" t="s">
        <v>1154</v>
      </c>
      <c r="C4779" s="5" t="s">
        <v>1029</v>
      </c>
      <c r="D4779" s="2" t="s">
        <v>6068</v>
      </c>
    </row>
    <row r="4780" spans="1:4" ht="12.95" customHeight="1" x14ac:dyDescent="0.25">
      <c r="A4780" s="2" t="s">
        <v>722</v>
      </c>
      <c r="B4780" s="2" t="s">
        <v>1154</v>
      </c>
      <c r="C4780" s="5" t="s">
        <v>1031</v>
      </c>
      <c r="D4780" s="2" t="s">
        <v>6069</v>
      </c>
    </row>
    <row r="4781" spans="1:4" ht="12.95" customHeight="1" x14ac:dyDescent="0.25">
      <c r="A4781" s="2" t="s">
        <v>722</v>
      </c>
      <c r="B4781" s="2" t="s">
        <v>1154</v>
      </c>
      <c r="C4781" s="5" t="s">
        <v>1033</v>
      </c>
      <c r="D4781" s="2" t="s">
        <v>6070</v>
      </c>
    </row>
    <row r="4782" spans="1:4" ht="12.95" customHeight="1" x14ac:dyDescent="0.25">
      <c r="A4782" s="2" t="s">
        <v>722</v>
      </c>
      <c r="B4782" s="2" t="s">
        <v>1154</v>
      </c>
      <c r="C4782" s="5" t="s">
        <v>1035</v>
      </c>
      <c r="D4782" s="2" t="s">
        <v>3129</v>
      </c>
    </row>
    <row r="4783" spans="1:4" ht="12.95" customHeight="1" x14ac:dyDescent="0.25">
      <c r="A4783" s="2" t="s">
        <v>722</v>
      </c>
      <c r="B4783" s="2" t="s">
        <v>1154</v>
      </c>
      <c r="C4783" s="5" t="s">
        <v>1177</v>
      </c>
      <c r="D4783" s="2" t="s">
        <v>6071</v>
      </c>
    </row>
    <row r="4784" spans="1:4" ht="12.95" customHeight="1" x14ac:dyDescent="0.25">
      <c r="A4784" s="2" t="s">
        <v>722</v>
      </c>
      <c r="B4784" s="2" t="s">
        <v>1154</v>
      </c>
      <c r="C4784" s="5" t="s">
        <v>1005</v>
      </c>
      <c r="D4784" s="2" t="s">
        <v>1006</v>
      </c>
    </row>
    <row r="4785" spans="1:4" ht="12.95" customHeight="1" x14ac:dyDescent="0.25">
      <c r="A4785" s="2" t="s">
        <v>724</v>
      </c>
      <c r="B4785" s="2" t="s">
        <v>1154</v>
      </c>
      <c r="C4785" s="5" t="s">
        <v>996</v>
      </c>
      <c r="D4785" s="2" t="s">
        <v>997</v>
      </c>
    </row>
    <row r="4786" spans="1:4" ht="12.95" customHeight="1" x14ac:dyDescent="0.25">
      <c r="A4786" s="2" t="s">
        <v>724</v>
      </c>
      <c r="B4786" s="2" t="s">
        <v>1154</v>
      </c>
      <c r="C4786" s="5" t="s">
        <v>978</v>
      </c>
      <c r="D4786" s="2" t="s">
        <v>979</v>
      </c>
    </row>
    <row r="4787" spans="1:4" ht="12.95" customHeight="1" x14ac:dyDescent="0.25">
      <c r="A4787" s="2" t="s">
        <v>724</v>
      </c>
      <c r="B4787" s="2" t="s">
        <v>1154</v>
      </c>
      <c r="C4787" s="5" t="s">
        <v>980</v>
      </c>
      <c r="D4787" s="2" t="s">
        <v>981</v>
      </c>
    </row>
    <row r="4788" spans="1:4" ht="12.95" customHeight="1" x14ac:dyDescent="0.25">
      <c r="A4788" s="2" t="s">
        <v>724</v>
      </c>
      <c r="B4788" s="2" t="s">
        <v>1154</v>
      </c>
      <c r="C4788" s="5" t="s">
        <v>982</v>
      </c>
      <c r="D4788" s="2" t="s">
        <v>983</v>
      </c>
    </row>
    <row r="4789" spans="1:4" ht="12.95" customHeight="1" x14ac:dyDescent="0.25">
      <c r="A4789" s="2" t="s">
        <v>724</v>
      </c>
      <c r="B4789" s="2" t="s">
        <v>1154</v>
      </c>
      <c r="C4789" s="5" t="s">
        <v>984</v>
      </c>
      <c r="D4789" s="2" t="s">
        <v>853</v>
      </c>
    </row>
    <row r="4790" spans="1:4" ht="12.95" customHeight="1" x14ac:dyDescent="0.25">
      <c r="A4790" s="2" t="s">
        <v>724</v>
      </c>
      <c r="B4790" s="2" t="s">
        <v>1154</v>
      </c>
      <c r="C4790" s="5" t="s">
        <v>986</v>
      </c>
      <c r="D4790" s="2" t="s">
        <v>6076</v>
      </c>
    </row>
    <row r="4791" spans="1:4" ht="12.95" customHeight="1" x14ac:dyDescent="0.25">
      <c r="A4791" s="2" t="s">
        <v>724</v>
      </c>
      <c r="B4791" s="2" t="s">
        <v>1154</v>
      </c>
      <c r="C4791" s="5" t="s">
        <v>988</v>
      </c>
      <c r="D4791" s="2" t="s">
        <v>6096</v>
      </c>
    </row>
    <row r="4792" spans="1:4" ht="12.95" customHeight="1" x14ac:dyDescent="0.25">
      <c r="A4792" s="2" t="s">
        <v>724</v>
      </c>
      <c r="B4792" s="2" t="s">
        <v>1154</v>
      </c>
      <c r="C4792" s="5" t="s">
        <v>990</v>
      </c>
      <c r="D4792" s="2" t="s">
        <v>6057</v>
      </c>
    </row>
    <row r="4793" spans="1:4" ht="12.95" customHeight="1" x14ac:dyDescent="0.25">
      <c r="A4793" s="2" t="s">
        <v>724</v>
      </c>
      <c r="B4793" s="2" t="s">
        <v>1154</v>
      </c>
      <c r="C4793" s="5" t="s">
        <v>992</v>
      </c>
      <c r="D4793" s="2" t="s">
        <v>6077</v>
      </c>
    </row>
    <row r="4794" spans="1:4" ht="12.95" customHeight="1" x14ac:dyDescent="0.25">
      <c r="A4794" s="2" t="s">
        <v>724</v>
      </c>
      <c r="B4794" s="2" t="s">
        <v>1154</v>
      </c>
      <c r="C4794" s="5" t="s">
        <v>994</v>
      </c>
      <c r="D4794" s="2" t="s">
        <v>6078</v>
      </c>
    </row>
    <row r="4795" spans="1:4" ht="12.95" customHeight="1" x14ac:dyDescent="0.25">
      <c r="A4795" s="2" t="s">
        <v>724</v>
      </c>
      <c r="B4795" s="2" t="s">
        <v>1154</v>
      </c>
      <c r="C4795" s="5" t="s">
        <v>1003</v>
      </c>
      <c r="D4795" s="2" t="s">
        <v>6079</v>
      </c>
    </row>
    <row r="4796" spans="1:4" ht="12.95" customHeight="1" x14ac:dyDescent="0.25">
      <c r="A4796" s="2" t="s">
        <v>724</v>
      </c>
      <c r="B4796" s="2" t="s">
        <v>1154</v>
      </c>
      <c r="C4796" s="5" t="s">
        <v>1013</v>
      </c>
      <c r="D4796" s="2" t="s">
        <v>6080</v>
      </c>
    </row>
    <row r="4797" spans="1:4" ht="12.95" customHeight="1" x14ac:dyDescent="0.25">
      <c r="A4797" s="2" t="s">
        <v>724</v>
      </c>
      <c r="B4797" s="2" t="s">
        <v>1154</v>
      </c>
      <c r="C4797" s="5" t="s">
        <v>1015</v>
      </c>
      <c r="D4797" s="2" t="s">
        <v>6081</v>
      </c>
    </row>
    <row r="4798" spans="1:4" ht="12.95" customHeight="1" x14ac:dyDescent="0.25">
      <c r="A4798" s="2" t="s">
        <v>724</v>
      </c>
      <c r="B4798" s="2" t="s">
        <v>1154</v>
      </c>
      <c r="C4798" s="5" t="s">
        <v>1017</v>
      </c>
      <c r="D4798" s="2" t="s">
        <v>6082</v>
      </c>
    </row>
    <row r="4799" spans="1:4" ht="12.95" customHeight="1" x14ac:dyDescent="0.25">
      <c r="A4799" s="2" t="s">
        <v>724</v>
      </c>
      <c r="B4799" s="2" t="s">
        <v>1154</v>
      </c>
      <c r="C4799" s="5" t="s">
        <v>1019</v>
      </c>
      <c r="D4799" s="2" t="s">
        <v>6083</v>
      </c>
    </row>
    <row r="4800" spans="1:4" ht="12.95" customHeight="1" x14ac:dyDescent="0.25">
      <c r="A4800" s="2" t="s">
        <v>724</v>
      </c>
      <c r="B4800" s="2" t="s">
        <v>1154</v>
      </c>
      <c r="C4800" s="5" t="s">
        <v>1021</v>
      </c>
      <c r="D4800" s="2" t="s">
        <v>6064</v>
      </c>
    </row>
    <row r="4801" spans="1:4" ht="12.95" customHeight="1" x14ac:dyDescent="0.25">
      <c r="A4801" s="2" t="s">
        <v>724</v>
      </c>
      <c r="B4801" s="2" t="s">
        <v>1154</v>
      </c>
      <c r="C4801" s="5" t="s">
        <v>1023</v>
      </c>
      <c r="D4801" s="2" t="s">
        <v>6084</v>
      </c>
    </row>
    <row r="4802" spans="1:4" ht="12.95" customHeight="1" x14ac:dyDescent="0.25">
      <c r="A4802" s="2" t="s">
        <v>724</v>
      </c>
      <c r="B4802" s="2" t="s">
        <v>1154</v>
      </c>
      <c r="C4802" s="5" t="s">
        <v>1025</v>
      </c>
      <c r="D4802" s="2" t="s">
        <v>6066</v>
      </c>
    </row>
    <row r="4803" spans="1:4" ht="12.95" customHeight="1" x14ac:dyDescent="0.25">
      <c r="A4803" s="2" t="s">
        <v>724</v>
      </c>
      <c r="B4803" s="2" t="s">
        <v>1154</v>
      </c>
      <c r="C4803" s="5" t="s">
        <v>1027</v>
      </c>
      <c r="D4803" s="2" t="s">
        <v>6067</v>
      </c>
    </row>
    <row r="4804" spans="1:4" ht="12.95" customHeight="1" x14ac:dyDescent="0.25">
      <c r="A4804" s="2" t="s">
        <v>724</v>
      </c>
      <c r="B4804" s="2" t="s">
        <v>1154</v>
      </c>
      <c r="C4804" s="5" t="s">
        <v>1029</v>
      </c>
      <c r="D4804" s="2" t="s">
        <v>6068</v>
      </c>
    </row>
    <row r="4805" spans="1:4" ht="12.95" customHeight="1" x14ac:dyDescent="0.25">
      <c r="A4805" s="2" t="s">
        <v>724</v>
      </c>
      <c r="B4805" s="2" t="s">
        <v>1154</v>
      </c>
      <c r="C4805" s="5" t="s">
        <v>1031</v>
      </c>
      <c r="D4805" s="2" t="s">
        <v>6069</v>
      </c>
    </row>
    <row r="4806" spans="1:4" ht="12.95" customHeight="1" x14ac:dyDescent="0.25">
      <c r="A4806" s="2" t="s">
        <v>724</v>
      </c>
      <c r="B4806" s="2" t="s">
        <v>1154</v>
      </c>
      <c r="C4806" s="5" t="s">
        <v>1033</v>
      </c>
      <c r="D4806" s="2" t="s">
        <v>6070</v>
      </c>
    </row>
    <row r="4807" spans="1:4" ht="12.95" customHeight="1" x14ac:dyDescent="0.25">
      <c r="A4807" s="2" t="s">
        <v>724</v>
      </c>
      <c r="B4807" s="2" t="s">
        <v>1154</v>
      </c>
      <c r="C4807" s="5" t="s">
        <v>1035</v>
      </c>
      <c r="D4807" s="2" t="s">
        <v>3129</v>
      </c>
    </row>
    <row r="4808" spans="1:4" ht="12.95" customHeight="1" x14ac:dyDescent="0.25">
      <c r="A4808" s="2" t="s">
        <v>724</v>
      </c>
      <c r="B4808" s="2" t="s">
        <v>1154</v>
      </c>
      <c r="C4808" s="5" t="s">
        <v>1177</v>
      </c>
      <c r="D4808" s="2" t="s">
        <v>6071</v>
      </c>
    </row>
    <row r="4809" spans="1:4" ht="12.95" customHeight="1" x14ac:dyDescent="0.25">
      <c r="A4809" s="2" t="s">
        <v>724</v>
      </c>
      <c r="B4809" s="2" t="s">
        <v>1154</v>
      </c>
      <c r="C4809" s="5" t="s">
        <v>1005</v>
      </c>
      <c r="D4809" s="2" t="s">
        <v>1006</v>
      </c>
    </row>
    <row r="4810" spans="1:4" ht="12.95" customHeight="1" x14ac:dyDescent="0.25">
      <c r="A4810" s="2" t="s">
        <v>726</v>
      </c>
      <c r="B4810" s="2" t="s">
        <v>1154</v>
      </c>
      <c r="C4810" s="5" t="s">
        <v>996</v>
      </c>
      <c r="D4810" s="2" t="s">
        <v>997</v>
      </c>
    </row>
    <row r="4811" spans="1:4" ht="12.95" customHeight="1" x14ac:dyDescent="0.25">
      <c r="A4811" s="2" t="s">
        <v>726</v>
      </c>
      <c r="B4811" s="2" t="s">
        <v>1154</v>
      </c>
      <c r="C4811" s="5" t="s">
        <v>978</v>
      </c>
      <c r="D4811" s="2" t="s">
        <v>979</v>
      </c>
    </row>
    <row r="4812" spans="1:4" ht="12.95" customHeight="1" x14ac:dyDescent="0.25">
      <c r="A4812" s="2" t="s">
        <v>726</v>
      </c>
      <c r="B4812" s="2" t="s">
        <v>1154</v>
      </c>
      <c r="C4812" s="5" t="s">
        <v>980</v>
      </c>
      <c r="D4812" s="2" t="s">
        <v>981</v>
      </c>
    </row>
    <row r="4813" spans="1:4" ht="12.95" customHeight="1" x14ac:dyDescent="0.25">
      <c r="A4813" s="2" t="s">
        <v>726</v>
      </c>
      <c r="B4813" s="2" t="s">
        <v>1154</v>
      </c>
      <c r="C4813" s="5" t="s">
        <v>982</v>
      </c>
      <c r="D4813" s="2" t="s">
        <v>983</v>
      </c>
    </row>
    <row r="4814" spans="1:4" ht="12.95" customHeight="1" x14ac:dyDescent="0.25">
      <c r="A4814" s="2" t="s">
        <v>726</v>
      </c>
      <c r="B4814" s="2" t="s">
        <v>1154</v>
      </c>
      <c r="C4814" s="5" t="s">
        <v>984</v>
      </c>
      <c r="D4814" s="2" t="s">
        <v>853</v>
      </c>
    </row>
    <row r="4815" spans="1:4" ht="12.95" customHeight="1" x14ac:dyDescent="0.25">
      <c r="A4815" s="2" t="s">
        <v>726</v>
      </c>
      <c r="B4815" s="2" t="s">
        <v>1154</v>
      </c>
      <c r="C4815" s="5" t="s">
        <v>986</v>
      </c>
      <c r="D4815" s="2" t="s">
        <v>6076</v>
      </c>
    </row>
    <row r="4816" spans="1:4" ht="12.95" customHeight="1" x14ac:dyDescent="0.25">
      <c r="A4816" s="2" t="s">
        <v>726</v>
      </c>
      <c r="B4816" s="2" t="s">
        <v>1154</v>
      </c>
      <c r="C4816" s="5" t="s">
        <v>988</v>
      </c>
      <c r="D4816" s="2" t="s">
        <v>6096</v>
      </c>
    </row>
    <row r="4817" spans="1:4" ht="12.95" customHeight="1" x14ac:dyDescent="0.25">
      <c r="A4817" s="2" t="s">
        <v>726</v>
      </c>
      <c r="B4817" s="2" t="s">
        <v>1154</v>
      </c>
      <c r="C4817" s="5" t="s">
        <v>990</v>
      </c>
      <c r="D4817" s="2" t="s">
        <v>6057</v>
      </c>
    </row>
    <row r="4818" spans="1:4" ht="12.95" customHeight="1" x14ac:dyDescent="0.25">
      <c r="A4818" s="2" t="s">
        <v>726</v>
      </c>
      <c r="B4818" s="2" t="s">
        <v>1154</v>
      </c>
      <c r="C4818" s="5" t="s">
        <v>992</v>
      </c>
      <c r="D4818" s="2" t="s">
        <v>6077</v>
      </c>
    </row>
    <row r="4819" spans="1:4" ht="12.95" customHeight="1" x14ac:dyDescent="0.25">
      <c r="A4819" s="2" t="s">
        <v>726</v>
      </c>
      <c r="B4819" s="2" t="s">
        <v>1154</v>
      </c>
      <c r="C4819" s="5" t="s">
        <v>994</v>
      </c>
      <c r="D4819" s="2" t="s">
        <v>6078</v>
      </c>
    </row>
    <row r="4820" spans="1:4" ht="12.95" customHeight="1" x14ac:dyDescent="0.25">
      <c r="A4820" s="2" t="s">
        <v>726</v>
      </c>
      <c r="B4820" s="2" t="s">
        <v>1154</v>
      </c>
      <c r="C4820" s="5" t="s">
        <v>1003</v>
      </c>
      <c r="D4820" s="2" t="s">
        <v>6079</v>
      </c>
    </row>
    <row r="4821" spans="1:4" ht="12.95" customHeight="1" x14ac:dyDescent="0.25">
      <c r="A4821" s="2" t="s">
        <v>726</v>
      </c>
      <c r="B4821" s="2" t="s">
        <v>1154</v>
      </c>
      <c r="C4821" s="5" t="s">
        <v>1013</v>
      </c>
      <c r="D4821" s="2" t="s">
        <v>6080</v>
      </c>
    </row>
    <row r="4822" spans="1:4" ht="12.95" customHeight="1" x14ac:dyDescent="0.25">
      <c r="A4822" s="2" t="s">
        <v>726</v>
      </c>
      <c r="B4822" s="2" t="s">
        <v>1154</v>
      </c>
      <c r="C4822" s="5" t="s">
        <v>1015</v>
      </c>
      <c r="D4822" s="2" t="s">
        <v>6081</v>
      </c>
    </row>
    <row r="4823" spans="1:4" ht="12.95" customHeight="1" x14ac:dyDescent="0.25">
      <c r="A4823" s="2" t="s">
        <v>726</v>
      </c>
      <c r="B4823" s="2" t="s">
        <v>1154</v>
      </c>
      <c r="C4823" s="5" t="s">
        <v>1017</v>
      </c>
      <c r="D4823" s="2" t="s">
        <v>6082</v>
      </c>
    </row>
    <row r="4824" spans="1:4" ht="12.95" customHeight="1" x14ac:dyDescent="0.25">
      <c r="A4824" s="2" t="s">
        <v>726</v>
      </c>
      <c r="B4824" s="2" t="s">
        <v>1154</v>
      </c>
      <c r="C4824" s="5" t="s">
        <v>1019</v>
      </c>
      <c r="D4824" s="2" t="s">
        <v>6083</v>
      </c>
    </row>
    <row r="4825" spans="1:4" ht="12.95" customHeight="1" x14ac:dyDescent="0.25">
      <c r="A4825" s="2" t="s">
        <v>726</v>
      </c>
      <c r="B4825" s="2" t="s">
        <v>1154</v>
      </c>
      <c r="C4825" s="5" t="s">
        <v>1021</v>
      </c>
      <c r="D4825" s="2" t="s">
        <v>6064</v>
      </c>
    </row>
    <row r="4826" spans="1:4" ht="12.95" customHeight="1" x14ac:dyDescent="0.25">
      <c r="A4826" s="2" t="s">
        <v>726</v>
      </c>
      <c r="B4826" s="2" t="s">
        <v>1154</v>
      </c>
      <c r="C4826" s="5" t="s">
        <v>1023</v>
      </c>
      <c r="D4826" s="2" t="s">
        <v>6084</v>
      </c>
    </row>
    <row r="4827" spans="1:4" ht="12.95" customHeight="1" x14ac:dyDescent="0.25">
      <c r="A4827" s="2" t="s">
        <v>726</v>
      </c>
      <c r="B4827" s="2" t="s">
        <v>1154</v>
      </c>
      <c r="C4827" s="5" t="s">
        <v>1025</v>
      </c>
      <c r="D4827" s="2" t="s">
        <v>6066</v>
      </c>
    </row>
    <row r="4828" spans="1:4" ht="12.95" customHeight="1" x14ac:dyDescent="0.25">
      <c r="A4828" s="2" t="s">
        <v>726</v>
      </c>
      <c r="B4828" s="2" t="s">
        <v>1154</v>
      </c>
      <c r="C4828" s="5" t="s">
        <v>1027</v>
      </c>
      <c r="D4828" s="2" t="s">
        <v>6067</v>
      </c>
    </row>
    <row r="4829" spans="1:4" ht="12.95" customHeight="1" x14ac:dyDescent="0.25">
      <c r="A4829" s="2" t="s">
        <v>726</v>
      </c>
      <c r="B4829" s="2" t="s">
        <v>1154</v>
      </c>
      <c r="C4829" s="5" t="s">
        <v>1029</v>
      </c>
      <c r="D4829" s="2" t="s">
        <v>6068</v>
      </c>
    </row>
    <row r="4830" spans="1:4" ht="12.95" customHeight="1" x14ac:dyDescent="0.25">
      <c r="A4830" s="2" t="s">
        <v>726</v>
      </c>
      <c r="B4830" s="2" t="s">
        <v>1154</v>
      </c>
      <c r="C4830" s="5" t="s">
        <v>1031</v>
      </c>
      <c r="D4830" s="2" t="s">
        <v>6069</v>
      </c>
    </row>
    <row r="4831" spans="1:4" ht="12.95" customHeight="1" x14ac:dyDescent="0.25">
      <c r="A4831" s="2" t="s">
        <v>726</v>
      </c>
      <c r="B4831" s="2" t="s">
        <v>1154</v>
      </c>
      <c r="C4831" s="5" t="s">
        <v>1033</v>
      </c>
      <c r="D4831" s="2" t="s">
        <v>6070</v>
      </c>
    </row>
    <row r="4832" spans="1:4" ht="12.95" customHeight="1" x14ac:dyDescent="0.25">
      <c r="A4832" s="2" t="s">
        <v>726</v>
      </c>
      <c r="B4832" s="2" t="s">
        <v>1154</v>
      </c>
      <c r="C4832" s="5" t="s">
        <v>1035</v>
      </c>
      <c r="D4832" s="2" t="s">
        <v>3129</v>
      </c>
    </row>
    <row r="4833" spans="1:4" ht="12.95" customHeight="1" x14ac:dyDescent="0.25">
      <c r="A4833" s="2" t="s">
        <v>726</v>
      </c>
      <c r="B4833" s="2" t="s">
        <v>1154</v>
      </c>
      <c r="C4833" s="5" t="s">
        <v>1177</v>
      </c>
      <c r="D4833" s="2" t="s">
        <v>6071</v>
      </c>
    </row>
    <row r="4834" spans="1:4" ht="12.95" customHeight="1" x14ac:dyDescent="0.25">
      <c r="A4834" s="2" t="s">
        <v>726</v>
      </c>
      <c r="B4834" s="2" t="s">
        <v>1154</v>
      </c>
      <c r="C4834" s="5" t="s">
        <v>1005</v>
      </c>
      <c r="D4834" s="2" t="s">
        <v>1006</v>
      </c>
    </row>
    <row r="4835" spans="1:4" ht="12.95" customHeight="1" x14ac:dyDescent="0.25">
      <c r="A4835" s="2" t="s">
        <v>728</v>
      </c>
      <c r="B4835" s="2" t="s">
        <v>1154</v>
      </c>
      <c r="C4835" s="5" t="s">
        <v>996</v>
      </c>
      <c r="D4835" s="2" t="s">
        <v>997</v>
      </c>
    </row>
    <row r="4836" spans="1:4" ht="12.95" customHeight="1" x14ac:dyDescent="0.25">
      <c r="A4836" s="2" t="s">
        <v>728</v>
      </c>
      <c r="B4836" s="2" t="s">
        <v>1154</v>
      </c>
      <c r="C4836" s="5" t="s">
        <v>978</v>
      </c>
      <c r="D4836" s="2" t="s">
        <v>979</v>
      </c>
    </row>
    <row r="4837" spans="1:4" ht="12.95" customHeight="1" x14ac:dyDescent="0.25">
      <c r="A4837" s="2" t="s">
        <v>728</v>
      </c>
      <c r="B4837" s="2" t="s">
        <v>1154</v>
      </c>
      <c r="C4837" s="5" t="s">
        <v>980</v>
      </c>
      <c r="D4837" s="2" t="s">
        <v>981</v>
      </c>
    </row>
    <row r="4838" spans="1:4" ht="12.95" customHeight="1" x14ac:dyDescent="0.25">
      <c r="A4838" s="2" t="s">
        <v>728</v>
      </c>
      <c r="B4838" s="2" t="s">
        <v>1154</v>
      </c>
      <c r="C4838" s="5" t="s">
        <v>982</v>
      </c>
      <c r="D4838" s="2" t="s">
        <v>983</v>
      </c>
    </row>
    <row r="4839" spans="1:4" ht="12.95" customHeight="1" x14ac:dyDescent="0.25">
      <c r="A4839" s="2" t="s">
        <v>728</v>
      </c>
      <c r="B4839" s="2" t="s">
        <v>1154</v>
      </c>
      <c r="C4839" s="5" t="s">
        <v>984</v>
      </c>
      <c r="D4839" s="2" t="s">
        <v>853</v>
      </c>
    </row>
    <row r="4840" spans="1:4" ht="12.95" customHeight="1" x14ac:dyDescent="0.25">
      <c r="A4840" s="2" t="s">
        <v>728</v>
      </c>
      <c r="B4840" s="2" t="s">
        <v>1154</v>
      </c>
      <c r="C4840" s="5" t="s">
        <v>986</v>
      </c>
      <c r="D4840" s="2" t="s">
        <v>6076</v>
      </c>
    </row>
    <row r="4841" spans="1:4" ht="12.95" customHeight="1" x14ac:dyDescent="0.25">
      <c r="A4841" s="2" t="s">
        <v>728</v>
      </c>
      <c r="B4841" s="2" t="s">
        <v>1154</v>
      </c>
      <c r="C4841" s="5" t="s">
        <v>988</v>
      </c>
      <c r="D4841" s="2" t="s">
        <v>6096</v>
      </c>
    </row>
    <row r="4842" spans="1:4" ht="12.95" customHeight="1" x14ac:dyDescent="0.25">
      <c r="A4842" s="2" t="s">
        <v>728</v>
      </c>
      <c r="B4842" s="2" t="s">
        <v>1154</v>
      </c>
      <c r="C4842" s="5" t="s">
        <v>990</v>
      </c>
      <c r="D4842" s="2" t="s">
        <v>6057</v>
      </c>
    </row>
    <row r="4843" spans="1:4" ht="12.95" customHeight="1" x14ac:dyDescent="0.25">
      <c r="A4843" s="2" t="s">
        <v>728</v>
      </c>
      <c r="B4843" s="2" t="s">
        <v>1154</v>
      </c>
      <c r="C4843" s="5" t="s">
        <v>992</v>
      </c>
      <c r="D4843" s="2" t="s">
        <v>6077</v>
      </c>
    </row>
    <row r="4844" spans="1:4" ht="12.95" customHeight="1" x14ac:dyDescent="0.25">
      <c r="A4844" s="2" t="s">
        <v>728</v>
      </c>
      <c r="B4844" s="2" t="s">
        <v>1154</v>
      </c>
      <c r="C4844" s="5" t="s">
        <v>994</v>
      </c>
      <c r="D4844" s="2" t="s">
        <v>6078</v>
      </c>
    </row>
    <row r="4845" spans="1:4" ht="12.95" customHeight="1" x14ac:dyDescent="0.25">
      <c r="A4845" s="2" t="s">
        <v>728</v>
      </c>
      <c r="B4845" s="2" t="s">
        <v>1154</v>
      </c>
      <c r="C4845" s="5" t="s">
        <v>1003</v>
      </c>
      <c r="D4845" s="2" t="s">
        <v>6079</v>
      </c>
    </row>
    <row r="4846" spans="1:4" ht="12.95" customHeight="1" x14ac:dyDescent="0.25">
      <c r="A4846" s="2" t="s">
        <v>728</v>
      </c>
      <c r="B4846" s="2" t="s">
        <v>1154</v>
      </c>
      <c r="C4846" s="5" t="s">
        <v>1013</v>
      </c>
      <c r="D4846" s="2" t="s">
        <v>6080</v>
      </c>
    </row>
    <row r="4847" spans="1:4" ht="12.95" customHeight="1" x14ac:dyDescent="0.25">
      <c r="A4847" s="2" t="s">
        <v>728</v>
      </c>
      <c r="B4847" s="2" t="s">
        <v>1154</v>
      </c>
      <c r="C4847" s="5" t="s">
        <v>1015</v>
      </c>
      <c r="D4847" s="2" t="s">
        <v>6081</v>
      </c>
    </row>
    <row r="4848" spans="1:4" ht="12.95" customHeight="1" x14ac:dyDescent="0.25">
      <c r="A4848" s="2" t="s">
        <v>728</v>
      </c>
      <c r="B4848" s="2" t="s">
        <v>1154</v>
      </c>
      <c r="C4848" s="5" t="s">
        <v>1017</v>
      </c>
      <c r="D4848" s="2" t="s">
        <v>6082</v>
      </c>
    </row>
    <row r="4849" spans="1:4" ht="12.95" customHeight="1" x14ac:dyDescent="0.25">
      <c r="A4849" s="2" t="s">
        <v>728</v>
      </c>
      <c r="B4849" s="2" t="s">
        <v>1154</v>
      </c>
      <c r="C4849" s="5" t="s">
        <v>1019</v>
      </c>
      <c r="D4849" s="2" t="s">
        <v>6083</v>
      </c>
    </row>
    <row r="4850" spans="1:4" ht="12.95" customHeight="1" x14ac:dyDescent="0.25">
      <c r="A4850" s="2" t="s">
        <v>728</v>
      </c>
      <c r="B4850" s="2" t="s">
        <v>1154</v>
      </c>
      <c r="C4850" s="5" t="s">
        <v>1021</v>
      </c>
      <c r="D4850" s="2" t="s">
        <v>6064</v>
      </c>
    </row>
    <row r="4851" spans="1:4" ht="12.95" customHeight="1" x14ac:dyDescent="0.25">
      <c r="A4851" s="2" t="s">
        <v>728</v>
      </c>
      <c r="B4851" s="2" t="s">
        <v>1154</v>
      </c>
      <c r="C4851" s="5" t="s">
        <v>1023</v>
      </c>
      <c r="D4851" s="2" t="s">
        <v>6084</v>
      </c>
    </row>
    <row r="4852" spans="1:4" ht="12.95" customHeight="1" x14ac:dyDescent="0.25">
      <c r="A4852" s="2" t="s">
        <v>728</v>
      </c>
      <c r="B4852" s="2" t="s">
        <v>1154</v>
      </c>
      <c r="C4852" s="5" t="s">
        <v>1025</v>
      </c>
      <c r="D4852" s="2" t="s">
        <v>6066</v>
      </c>
    </row>
    <row r="4853" spans="1:4" ht="12.95" customHeight="1" x14ac:dyDescent="0.25">
      <c r="A4853" s="2" t="s">
        <v>728</v>
      </c>
      <c r="B4853" s="2" t="s">
        <v>1154</v>
      </c>
      <c r="C4853" s="5" t="s">
        <v>1027</v>
      </c>
      <c r="D4853" s="2" t="s">
        <v>6067</v>
      </c>
    </row>
    <row r="4854" spans="1:4" ht="12.95" customHeight="1" x14ac:dyDescent="0.25">
      <c r="A4854" s="2" t="s">
        <v>728</v>
      </c>
      <c r="B4854" s="2" t="s">
        <v>1154</v>
      </c>
      <c r="C4854" s="5" t="s">
        <v>1029</v>
      </c>
      <c r="D4854" s="2" t="s">
        <v>6068</v>
      </c>
    </row>
    <row r="4855" spans="1:4" ht="12.95" customHeight="1" x14ac:dyDescent="0.25">
      <c r="A4855" s="2" t="s">
        <v>728</v>
      </c>
      <c r="B4855" s="2" t="s">
        <v>1154</v>
      </c>
      <c r="C4855" s="5" t="s">
        <v>1031</v>
      </c>
      <c r="D4855" s="2" t="s">
        <v>6069</v>
      </c>
    </row>
    <row r="4856" spans="1:4" ht="12.95" customHeight="1" x14ac:dyDescent="0.25">
      <c r="A4856" s="2" t="s">
        <v>728</v>
      </c>
      <c r="B4856" s="2" t="s">
        <v>1154</v>
      </c>
      <c r="C4856" s="5" t="s">
        <v>1033</v>
      </c>
      <c r="D4856" s="2" t="s">
        <v>6070</v>
      </c>
    </row>
    <row r="4857" spans="1:4" ht="12.95" customHeight="1" x14ac:dyDescent="0.25">
      <c r="A4857" s="2" t="s">
        <v>728</v>
      </c>
      <c r="B4857" s="2" t="s">
        <v>1154</v>
      </c>
      <c r="C4857" s="5" t="s">
        <v>1035</v>
      </c>
      <c r="D4857" s="2" t="s">
        <v>3129</v>
      </c>
    </row>
    <row r="4858" spans="1:4" ht="12.95" customHeight="1" x14ac:dyDescent="0.25">
      <c r="A4858" s="2" t="s">
        <v>728</v>
      </c>
      <c r="B4858" s="2" t="s">
        <v>1154</v>
      </c>
      <c r="C4858" s="5" t="s">
        <v>1177</v>
      </c>
      <c r="D4858" s="2" t="s">
        <v>6071</v>
      </c>
    </row>
    <row r="4859" spans="1:4" ht="12.95" customHeight="1" x14ac:dyDescent="0.25">
      <c r="A4859" s="2" t="s">
        <v>728</v>
      </c>
      <c r="B4859" s="2" t="s">
        <v>1154</v>
      </c>
      <c r="C4859" s="5" t="s">
        <v>1005</v>
      </c>
      <c r="D4859" s="2" t="s">
        <v>1006</v>
      </c>
    </row>
    <row r="4860" spans="1:4" ht="12.95" customHeight="1" x14ac:dyDescent="0.25">
      <c r="A4860" s="2" t="s">
        <v>730</v>
      </c>
      <c r="B4860" s="2" t="s">
        <v>1154</v>
      </c>
      <c r="C4860" s="5" t="s">
        <v>996</v>
      </c>
      <c r="D4860" s="2" t="s">
        <v>997</v>
      </c>
    </row>
    <row r="4861" spans="1:4" ht="12.95" customHeight="1" x14ac:dyDescent="0.25">
      <c r="A4861" s="2" t="s">
        <v>730</v>
      </c>
      <c r="B4861" s="2" t="s">
        <v>1154</v>
      </c>
      <c r="C4861" s="5" t="s">
        <v>978</v>
      </c>
      <c r="D4861" s="2" t="s">
        <v>979</v>
      </c>
    </row>
    <row r="4862" spans="1:4" ht="12.95" customHeight="1" x14ac:dyDescent="0.25">
      <c r="A4862" s="2" t="s">
        <v>730</v>
      </c>
      <c r="B4862" s="2" t="s">
        <v>1154</v>
      </c>
      <c r="C4862" s="5" t="s">
        <v>980</v>
      </c>
      <c r="D4862" s="2" t="s">
        <v>981</v>
      </c>
    </row>
    <row r="4863" spans="1:4" ht="12.95" customHeight="1" x14ac:dyDescent="0.25">
      <c r="A4863" s="2" t="s">
        <v>730</v>
      </c>
      <c r="B4863" s="2" t="s">
        <v>1154</v>
      </c>
      <c r="C4863" s="5" t="s">
        <v>982</v>
      </c>
      <c r="D4863" s="2" t="s">
        <v>983</v>
      </c>
    </row>
    <row r="4864" spans="1:4" ht="12.95" customHeight="1" x14ac:dyDescent="0.25">
      <c r="A4864" s="2" t="s">
        <v>730</v>
      </c>
      <c r="B4864" s="2" t="s">
        <v>1154</v>
      </c>
      <c r="C4864" s="5" t="s">
        <v>984</v>
      </c>
      <c r="D4864" s="2" t="s">
        <v>853</v>
      </c>
    </row>
    <row r="4865" spans="1:4" ht="12.95" customHeight="1" x14ac:dyDescent="0.25">
      <c r="A4865" s="2" t="s">
        <v>730</v>
      </c>
      <c r="B4865" s="2" t="s">
        <v>1154</v>
      </c>
      <c r="C4865" s="5" t="s">
        <v>986</v>
      </c>
      <c r="D4865" s="2" t="s">
        <v>6076</v>
      </c>
    </row>
    <row r="4866" spans="1:4" ht="12.95" customHeight="1" x14ac:dyDescent="0.25">
      <c r="A4866" s="2" t="s">
        <v>730</v>
      </c>
      <c r="B4866" s="2" t="s">
        <v>1154</v>
      </c>
      <c r="C4866" s="5" t="s">
        <v>988</v>
      </c>
      <c r="D4866" s="2" t="s">
        <v>6096</v>
      </c>
    </row>
    <row r="4867" spans="1:4" ht="12.95" customHeight="1" x14ac:dyDescent="0.25">
      <c r="A4867" s="2" t="s">
        <v>730</v>
      </c>
      <c r="B4867" s="2" t="s">
        <v>1154</v>
      </c>
      <c r="C4867" s="5" t="s">
        <v>990</v>
      </c>
      <c r="D4867" s="2" t="s">
        <v>6057</v>
      </c>
    </row>
    <row r="4868" spans="1:4" ht="12.95" customHeight="1" x14ac:dyDescent="0.25">
      <c r="A4868" s="2" t="s">
        <v>730</v>
      </c>
      <c r="B4868" s="2" t="s">
        <v>1154</v>
      </c>
      <c r="C4868" s="5" t="s">
        <v>992</v>
      </c>
      <c r="D4868" s="2" t="s">
        <v>6077</v>
      </c>
    </row>
    <row r="4869" spans="1:4" ht="12.95" customHeight="1" x14ac:dyDescent="0.25">
      <c r="A4869" s="2" t="s">
        <v>730</v>
      </c>
      <c r="B4869" s="2" t="s">
        <v>1154</v>
      </c>
      <c r="C4869" s="5" t="s">
        <v>994</v>
      </c>
      <c r="D4869" s="2" t="s">
        <v>6078</v>
      </c>
    </row>
    <row r="4870" spans="1:4" ht="12.95" customHeight="1" x14ac:dyDescent="0.25">
      <c r="A4870" s="2" t="s">
        <v>730</v>
      </c>
      <c r="B4870" s="2" t="s">
        <v>1154</v>
      </c>
      <c r="C4870" s="5" t="s">
        <v>1003</v>
      </c>
      <c r="D4870" s="2" t="s">
        <v>6079</v>
      </c>
    </row>
    <row r="4871" spans="1:4" ht="12.95" customHeight="1" x14ac:dyDescent="0.25">
      <c r="A4871" s="2" t="s">
        <v>730</v>
      </c>
      <c r="B4871" s="2" t="s">
        <v>1154</v>
      </c>
      <c r="C4871" s="5" t="s">
        <v>1013</v>
      </c>
      <c r="D4871" s="2" t="s">
        <v>6080</v>
      </c>
    </row>
    <row r="4872" spans="1:4" ht="12.95" customHeight="1" x14ac:dyDescent="0.25">
      <c r="A4872" s="2" t="s">
        <v>730</v>
      </c>
      <c r="B4872" s="2" t="s">
        <v>1154</v>
      </c>
      <c r="C4872" s="5" t="s">
        <v>1015</v>
      </c>
      <c r="D4872" s="2" t="s">
        <v>6081</v>
      </c>
    </row>
    <row r="4873" spans="1:4" ht="12.95" customHeight="1" x14ac:dyDescent="0.25">
      <c r="A4873" s="2" t="s">
        <v>730</v>
      </c>
      <c r="B4873" s="2" t="s">
        <v>1154</v>
      </c>
      <c r="C4873" s="5" t="s">
        <v>1017</v>
      </c>
      <c r="D4873" s="2" t="s">
        <v>6082</v>
      </c>
    </row>
    <row r="4874" spans="1:4" ht="12.95" customHeight="1" x14ac:dyDescent="0.25">
      <c r="A4874" s="2" t="s">
        <v>730</v>
      </c>
      <c r="B4874" s="2" t="s">
        <v>1154</v>
      </c>
      <c r="C4874" s="5" t="s">
        <v>1019</v>
      </c>
      <c r="D4874" s="2" t="s">
        <v>6083</v>
      </c>
    </row>
    <row r="4875" spans="1:4" ht="12.95" customHeight="1" x14ac:dyDescent="0.25">
      <c r="A4875" s="2" t="s">
        <v>730</v>
      </c>
      <c r="B4875" s="2" t="s">
        <v>1154</v>
      </c>
      <c r="C4875" s="5" t="s">
        <v>1021</v>
      </c>
      <c r="D4875" s="2" t="s">
        <v>6064</v>
      </c>
    </row>
    <row r="4876" spans="1:4" ht="12.95" customHeight="1" x14ac:dyDescent="0.25">
      <c r="A4876" s="2" t="s">
        <v>730</v>
      </c>
      <c r="B4876" s="2" t="s">
        <v>1154</v>
      </c>
      <c r="C4876" s="5" t="s">
        <v>1023</v>
      </c>
      <c r="D4876" s="2" t="s">
        <v>6084</v>
      </c>
    </row>
    <row r="4877" spans="1:4" ht="12.95" customHeight="1" x14ac:dyDescent="0.25">
      <c r="A4877" s="2" t="s">
        <v>730</v>
      </c>
      <c r="B4877" s="2" t="s">
        <v>1154</v>
      </c>
      <c r="C4877" s="5" t="s">
        <v>1025</v>
      </c>
      <c r="D4877" s="2" t="s">
        <v>6066</v>
      </c>
    </row>
    <row r="4878" spans="1:4" ht="12.95" customHeight="1" x14ac:dyDescent="0.25">
      <c r="A4878" s="2" t="s">
        <v>730</v>
      </c>
      <c r="B4878" s="2" t="s">
        <v>1154</v>
      </c>
      <c r="C4878" s="5" t="s">
        <v>1027</v>
      </c>
      <c r="D4878" s="2" t="s">
        <v>6067</v>
      </c>
    </row>
    <row r="4879" spans="1:4" ht="12.95" customHeight="1" x14ac:dyDescent="0.25">
      <c r="A4879" s="2" t="s">
        <v>730</v>
      </c>
      <c r="B4879" s="2" t="s">
        <v>1154</v>
      </c>
      <c r="C4879" s="5" t="s">
        <v>1029</v>
      </c>
      <c r="D4879" s="2" t="s">
        <v>6068</v>
      </c>
    </row>
    <row r="4880" spans="1:4" ht="12.95" customHeight="1" x14ac:dyDescent="0.25">
      <c r="A4880" s="2" t="s">
        <v>730</v>
      </c>
      <c r="B4880" s="2" t="s">
        <v>1154</v>
      </c>
      <c r="C4880" s="5" t="s">
        <v>1031</v>
      </c>
      <c r="D4880" s="2" t="s">
        <v>6069</v>
      </c>
    </row>
    <row r="4881" spans="1:4" ht="12.95" customHeight="1" x14ac:dyDescent="0.25">
      <c r="A4881" s="2" t="s">
        <v>730</v>
      </c>
      <c r="B4881" s="2" t="s">
        <v>1154</v>
      </c>
      <c r="C4881" s="5" t="s">
        <v>1033</v>
      </c>
      <c r="D4881" s="2" t="s">
        <v>6070</v>
      </c>
    </row>
    <row r="4882" spans="1:4" ht="12.95" customHeight="1" x14ac:dyDescent="0.25">
      <c r="A4882" s="2" t="s">
        <v>730</v>
      </c>
      <c r="B4882" s="2" t="s">
        <v>1154</v>
      </c>
      <c r="C4882" s="5" t="s">
        <v>1035</v>
      </c>
      <c r="D4882" s="2" t="s">
        <v>3129</v>
      </c>
    </row>
    <row r="4883" spans="1:4" ht="12.95" customHeight="1" x14ac:dyDescent="0.25">
      <c r="A4883" s="2" t="s">
        <v>730</v>
      </c>
      <c r="B4883" s="2" t="s">
        <v>1154</v>
      </c>
      <c r="C4883" s="5" t="s">
        <v>1177</v>
      </c>
      <c r="D4883" s="2" t="s">
        <v>6071</v>
      </c>
    </row>
    <row r="4884" spans="1:4" ht="12.95" customHeight="1" x14ac:dyDescent="0.25">
      <c r="A4884" s="2" t="s">
        <v>730</v>
      </c>
      <c r="B4884" s="2" t="s">
        <v>1154</v>
      </c>
      <c r="C4884" s="5" t="s">
        <v>1005</v>
      </c>
      <c r="D4884" s="2" t="s">
        <v>1006</v>
      </c>
    </row>
    <row r="4885" spans="1:4" ht="12.95" customHeight="1" x14ac:dyDescent="0.25">
      <c r="A4885" s="2" t="s">
        <v>732</v>
      </c>
      <c r="B4885" s="2" t="s">
        <v>1154</v>
      </c>
      <c r="C4885" s="5" t="s">
        <v>996</v>
      </c>
      <c r="D4885" s="2" t="s">
        <v>997</v>
      </c>
    </row>
    <row r="4886" spans="1:4" ht="12.95" customHeight="1" x14ac:dyDescent="0.25">
      <c r="A4886" s="2" t="s">
        <v>732</v>
      </c>
      <c r="B4886" s="2" t="s">
        <v>1154</v>
      </c>
      <c r="C4886" s="5" t="s">
        <v>978</v>
      </c>
      <c r="D4886" s="2" t="s">
        <v>979</v>
      </c>
    </row>
    <row r="4887" spans="1:4" ht="12.95" customHeight="1" x14ac:dyDescent="0.25">
      <c r="A4887" s="2" t="s">
        <v>732</v>
      </c>
      <c r="B4887" s="2" t="s">
        <v>1154</v>
      </c>
      <c r="C4887" s="5" t="s">
        <v>980</v>
      </c>
      <c r="D4887" s="2" t="s">
        <v>981</v>
      </c>
    </row>
    <row r="4888" spans="1:4" ht="12.95" customHeight="1" x14ac:dyDescent="0.25">
      <c r="A4888" s="2" t="s">
        <v>732</v>
      </c>
      <c r="B4888" s="2" t="s">
        <v>1154</v>
      </c>
      <c r="C4888" s="5" t="s">
        <v>982</v>
      </c>
      <c r="D4888" s="2" t="s">
        <v>983</v>
      </c>
    </row>
    <row r="4889" spans="1:4" ht="12.95" customHeight="1" x14ac:dyDescent="0.25">
      <c r="A4889" s="2" t="s">
        <v>732</v>
      </c>
      <c r="B4889" s="2" t="s">
        <v>1154</v>
      </c>
      <c r="C4889" s="5" t="s">
        <v>984</v>
      </c>
      <c r="D4889" s="2" t="s">
        <v>853</v>
      </c>
    </row>
    <row r="4890" spans="1:4" ht="12.95" customHeight="1" x14ac:dyDescent="0.25">
      <c r="A4890" s="2" t="s">
        <v>732</v>
      </c>
      <c r="B4890" s="2" t="s">
        <v>1154</v>
      </c>
      <c r="C4890" s="5" t="s">
        <v>986</v>
      </c>
      <c r="D4890" s="2" t="s">
        <v>6076</v>
      </c>
    </row>
    <row r="4891" spans="1:4" ht="12.95" customHeight="1" x14ac:dyDescent="0.25">
      <c r="A4891" s="2" t="s">
        <v>732</v>
      </c>
      <c r="B4891" s="2" t="s">
        <v>1154</v>
      </c>
      <c r="C4891" s="5" t="s">
        <v>988</v>
      </c>
      <c r="D4891" s="2" t="s">
        <v>6096</v>
      </c>
    </row>
    <row r="4892" spans="1:4" ht="12.95" customHeight="1" x14ac:dyDescent="0.25">
      <c r="A4892" s="2" t="s">
        <v>732</v>
      </c>
      <c r="B4892" s="2" t="s">
        <v>1154</v>
      </c>
      <c r="C4892" s="5" t="s">
        <v>990</v>
      </c>
      <c r="D4892" s="2" t="s">
        <v>6057</v>
      </c>
    </row>
    <row r="4893" spans="1:4" ht="12.95" customHeight="1" x14ac:dyDescent="0.25">
      <c r="A4893" s="2" t="s">
        <v>732</v>
      </c>
      <c r="B4893" s="2" t="s">
        <v>1154</v>
      </c>
      <c r="C4893" s="5" t="s">
        <v>992</v>
      </c>
      <c r="D4893" s="2" t="s">
        <v>6077</v>
      </c>
    </row>
    <row r="4894" spans="1:4" ht="12.95" customHeight="1" x14ac:dyDescent="0.25">
      <c r="A4894" s="2" t="s">
        <v>732</v>
      </c>
      <c r="B4894" s="2" t="s">
        <v>1154</v>
      </c>
      <c r="C4894" s="5" t="s">
        <v>994</v>
      </c>
      <c r="D4894" s="2" t="s">
        <v>6078</v>
      </c>
    </row>
    <row r="4895" spans="1:4" ht="12.95" customHeight="1" x14ac:dyDescent="0.25">
      <c r="A4895" s="2" t="s">
        <v>732</v>
      </c>
      <c r="B4895" s="2" t="s">
        <v>1154</v>
      </c>
      <c r="C4895" s="5" t="s">
        <v>1003</v>
      </c>
      <c r="D4895" s="2" t="s">
        <v>6079</v>
      </c>
    </row>
    <row r="4896" spans="1:4" ht="12.95" customHeight="1" x14ac:dyDescent="0.25">
      <c r="A4896" s="2" t="s">
        <v>732</v>
      </c>
      <c r="B4896" s="2" t="s">
        <v>1154</v>
      </c>
      <c r="C4896" s="5" t="s">
        <v>1013</v>
      </c>
      <c r="D4896" s="2" t="s">
        <v>6080</v>
      </c>
    </row>
    <row r="4897" spans="1:4" ht="12.95" customHeight="1" x14ac:dyDescent="0.25">
      <c r="A4897" s="2" t="s">
        <v>732</v>
      </c>
      <c r="B4897" s="2" t="s">
        <v>1154</v>
      </c>
      <c r="C4897" s="5" t="s">
        <v>1015</v>
      </c>
      <c r="D4897" s="2" t="s">
        <v>6081</v>
      </c>
    </row>
    <row r="4898" spans="1:4" ht="12.95" customHeight="1" x14ac:dyDescent="0.25">
      <c r="A4898" s="2" t="s">
        <v>732</v>
      </c>
      <c r="B4898" s="2" t="s">
        <v>1154</v>
      </c>
      <c r="C4898" s="5" t="s">
        <v>1017</v>
      </c>
      <c r="D4898" s="2" t="s">
        <v>6082</v>
      </c>
    </row>
    <row r="4899" spans="1:4" ht="12.95" customHeight="1" x14ac:dyDescent="0.25">
      <c r="A4899" s="2" t="s">
        <v>732</v>
      </c>
      <c r="B4899" s="2" t="s">
        <v>1154</v>
      </c>
      <c r="C4899" s="5" t="s">
        <v>1019</v>
      </c>
      <c r="D4899" s="2" t="s">
        <v>6083</v>
      </c>
    </row>
    <row r="4900" spans="1:4" ht="12.95" customHeight="1" x14ac:dyDescent="0.25">
      <c r="A4900" s="2" t="s">
        <v>732</v>
      </c>
      <c r="B4900" s="2" t="s">
        <v>1154</v>
      </c>
      <c r="C4900" s="5" t="s">
        <v>1021</v>
      </c>
      <c r="D4900" s="2" t="s">
        <v>6064</v>
      </c>
    </row>
    <row r="4901" spans="1:4" ht="12.95" customHeight="1" x14ac:dyDescent="0.25">
      <c r="A4901" s="2" t="s">
        <v>732</v>
      </c>
      <c r="B4901" s="2" t="s">
        <v>1154</v>
      </c>
      <c r="C4901" s="5" t="s">
        <v>1023</v>
      </c>
      <c r="D4901" s="2" t="s">
        <v>6084</v>
      </c>
    </row>
    <row r="4902" spans="1:4" ht="12.95" customHeight="1" x14ac:dyDescent="0.25">
      <c r="A4902" s="2" t="s">
        <v>732</v>
      </c>
      <c r="B4902" s="2" t="s">
        <v>1154</v>
      </c>
      <c r="C4902" s="5" t="s">
        <v>1025</v>
      </c>
      <c r="D4902" s="2" t="s">
        <v>6066</v>
      </c>
    </row>
    <row r="4903" spans="1:4" ht="12.95" customHeight="1" x14ac:dyDescent="0.25">
      <c r="A4903" s="2" t="s">
        <v>732</v>
      </c>
      <c r="B4903" s="2" t="s">
        <v>1154</v>
      </c>
      <c r="C4903" s="5" t="s">
        <v>1027</v>
      </c>
      <c r="D4903" s="2" t="s">
        <v>6067</v>
      </c>
    </row>
    <row r="4904" spans="1:4" ht="12.95" customHeight="1" x14ac:dyDescent="0.25">
      <c r="A4904" s="2" t="s">
        <v>732</v>
      </c>
      <c r="B4904" s="2" t="s">
        <v>1154</v>
      </c>
      <c r="C4904" s="5" t="s">
        <v>1029</v>
      </c>
      <c r="D4904" s="2" t="s">
        <v>6068</v>
      </c>
    </row>
    <row r="4905" spans="1:4" ht="12.95" customHeight="1" x14ac:dyDescent="0.25">
      <c r="A4905" s="2" t="s">
        <v>732</v>
      </c>
      <c r="B4905" s="2" t="s">
        <v>1154</v>
      </c>
      <c r="C4905" s="5" t="s">
        <v>1031</v>
      </c>
      <c r="D4905" s="2" t="s">
        <v>6069</v>
      </c>
    </row>
    <row r="4906" spans="1:4" ht="12.95" customHeight="1" x14ac:dyDescent="0.25">
      <c r="A4906" s="2" t="s">
        <v>732</v>
      </c>
      <c r="B4906" s="2" t="s">
        <v>1154</v>
      </c>
      <c r="C4906" s="5" t="s">
        <v>1033</v>
      </c>
      <c r="D4906" s="2" t="s">
        <v>6070</v>
      </c>
    </row>
    <row r="4907" spans="1:4" ht="12.95" customHeight="1" x14ac:dyDescent="0.25">
      <c r="A4907" s="2" t="s">
        <v>732</v>
      </c>
      <c r="B4907" s="2" t="s">
        <v>1154</v>
      </c>
      <c r="C4907" s="5" t="s">
        <v>1035</v>
      </c>
      <c r="D4907" s="2" t="s">
        <v>3129</v>
      </c>
    </row>
    <row r="4908" spans="1:4" ht="12.95" customHeight="1" x14ac:dyDescent="0.25">
      <c r="A4908" s="2" t="s">
        <v>732</v>
      </c>
      <c r="B4908" s="2" t="s">
        <v>1154</v>
      </c>
      <c r="C4908" s="5" t="s">
        <v>1177</v>
      </c>
      <c r="D4908" s="2" t="s">
        <v>6071</v>
      </c>
    </row>
    <row r="4909" spans="1:4" ht="12.95" customHeight="1" x14ac:dyDescent="0.25">
      <c r="A4909" s="2" t="s">
        <v>732</v>
      </c>
      <c r="B4909" s="2" t="s">
        <v>1154</v>
      </c>
      <c r="C4909" s="5" t="s">
        <v>1005</v>
      </c>
      <c r="D4909" s="2" t="s">
        <v>1006</v>
      </c>
    </row>
    <row r="4910" spans="1:4" ht="12.95" customHeight="1" x14ac:dyDescent="0.25">
      <c r="A4910" s="2" t="s">
        <v>734</v>
      </c>
      <c r="B4910" s="2" t="s">
        <v>1154</v>
      </c>
      <c r="C4910" s="5" t="s">
        <v>996</v>
      </c>
      <c r="D4910" s="2" t="s">
        <v>997</v>
      </c>
    </row>
    <row r="4911" spans="1:4" ht="12.95" customHeight="1" x14ac:dyDescent="0.25">
      <c r="A4911" s="2" t="s">
        <v>734</v>
      </c>
      <c r="B4911" s="2" t="s">
        <v>1154</v>
      </c>
      <c r="C4911" s="5" t="s">
        <v>978</v>
      </c>
      <c r="D4911" s="2" t="s">
        <v>979</v>
      </c>
    </row>
    <row r="4912" spans="1:4" ht="12.95" customHeight="1" x14ac:dyDescent="0.25">
      <c r="A4912" s="2" t="s">
        <v>734</v>
      </c>
      <c r="B4912" s="2" t="s">
        <v>1154</v>
      </c>
      <c r="C4912" s="5" t="s">
        <v>980</v>
      </c>
      <c r="D4912" s="2" t="s">
        <v>981</v>
      </c>
    </row>
    <row r="4913" spans="1:4" ht="12.95" customHeight="1" x14ac:dyDescent="0.25">
      <c r="A4913" s="2" t="s">
        <v>734</v>
      </c>
      <c r="B4913" s="2" t="s">
        <v>1154</v>
      </c>
      <c r="C4913" s="5" t="s">
        <v>982</v>
      </c>
      <c r="D4913" s="2" t="s">
        <v>983</v>
      </c>
    </row>
    <row r="4914" spans="1:4" ht="12.95" customHeight="1" x14ac:dyDescent="0.25">
      <c r="A4914" s="2" t="s">
        <v>734</v>
      </c>
      <c r="B4914" s="2" t="s">
        <v>1154</v>
      </c>
      <c r="C4914" s="5" t="s">
        <v>984</v>
      </c>
      <c r="D4914" s="2" t="s">
        <v>853</v>
      </c>
    </row>
    <row r="4915" spans="1:4" ht="12.95" customHeight="1" x14ac:dyDescent="0.25">
      <c r="A4915" s="2" t="s">
        <v>734</v>
      </c>
      <c r="B4915" s="2" t="s">
        <v>1154</v>
      </c>
      <c r="C4915" s="5" t="s">
        <v>986</v>
      </c>
      <c r="D4915" s="2" t="s">
        <v>6076</v>
      </c>
    </row>
    <row r="4916" spans="1:4" ht="12.95" customHeight="1" x14ac:dyDescent="0.25">
      <c r="A4916" s="2" t="s">
        <v>734</v>
      </c>
      <c r="B4916" s="2" t="s">
        <v>1154</v>
      </c>
      <c r="C4916" s="5" t="s">
        <v>988</v>
      </c>
      <c r="D4916" s="2" t="s">
        <v>6096</v>
      </c>
    </row>
    <row r="4917" spans="1:4" ht="12.95" customHeight="1" x14ac:dyDescent="0.25">
      <c r="A4917" s="2" t="s">
        <v>734</v>
      </c>
      <c r="B4917" s="2" t="s">
        <v>1154</v>
      </c>
      <c r="C4917" s="5" t="s">
        <v>990</v>
      </c>
      <c r="D4917" s="2" t="s">
        <v>6057</v>
      </c>
    </row>
    <row r="4918" spans="1:4" ht="12.95" customHeight="1" x14ac:dyDescent="0.25">
      <c r="A4918" s="2" t="s">
        <v>734</v>
      </c>
      <c r="B4918" s="2" t="s">
        <v>1154</v>
      </c>
      <c r="C4918" s="5" t="s">
        <v>992</v>
      </c>
      <c r="D4918" s="2" t="s">
        <v>6077</v>
      </c>
    </row>
    <row r="4919" spans="1:4" ht="12.95" customHeight="1" x14ac:dyDescent="0.25">
      <c r="A4919" s="2" t="s">
        <v>734</v>
      </c>
      <c r="B4919" s="2" t="s">
        <v>1154</v>
      </c>
      <c r="C4919" s="5" t="s">
        <v>994</v>
      </c>
      <c r="D4919" s="2" t="s">
        <v>6078</v>
      </c>
    </row>
    <row r="4920" spans="1:4" ht="12.95" customHeight="1" x14ac:dyDescent="0.25">
      <c r="A4920" s="2" t="s">
        <v>734</v>
      </c>
      <c r="B4920" s="2" t="s">
        <v>1154</v>
      </c>
      <c r="C4920" s="5" t="s">
        <v>1003</v>
      </c>
      <c r="D4920" s="2" t="s">
        <v>6079</v>
      </c>
    </row>
    <row r="4921" spans="1:4" ht="12.95" customHeight="1" x14ac:dyDescent="0.25">
      <c r="A4921" s="2" t="s">
        <v>734</v>
      </c>
      <c r="B4921" s="2" t="s">
        <v>1154</v>
      </c>
      <c r="C4921" s="5" t="s">
        <v>1013</v>
      </c>
      <c r="D4921" s="2" t="s">
        <v>6080</v>
      </c>
    </row>
    <row r="4922" spans="1:4" ht="12.95" customHeight="1" x14ac:dyDescent="0.25">
      <c r="A4922" s="2" t="s">
        <v>734</v>
      </c>
      <c r="B4922" s="2" t="s">
        <v>1154</v>
      </c>
      <c r="C4922" s="5" t="s">
        <v>1015</v>
      </c>
      <c r="D4922" s="2" t="s">
        <v>6081</v>
      </c>
    </row>
    <row r="4923" spans="1:4" ht="12.95" customHeight="1" x14ac:dyDescent="0.25">
      <c r="A4923" s="2" t="s">
        <v>734</v>
      </c>
      <c r="B4923" s="2" t="s">
        <v>1154</v>
      </c>
      <c r="C4923" s="5" t="s">
        <v>1017</v>
      </c>
      <c r="D4923" s="2" t="s">
        <v>6082</v>
      </c>
    </row>
    <row r="4924" spans="1:4" ht="12.95" customHeight="1" x14ac:dyDescent="0.25">
      <c r="A4924" s="2" t="s">
        <v>734</v>
      </c>
      <c r="B4924" s="2" t="s">
        <v>1154</v>
      </c>
      <c r="C4924" s="5" t="s">
        <v>1019</v>
      </c>
      <c r="D4924" s="2" t="s">
        <v>6083</v>
      </c>
    </row>
    <row r="4925" spans="1:4" ht="12.95" customHeight="1" x14ac:dyDescent="0.25">
      <c r="A4925" s="2" t="s">
        <v>734</v>
      </c>
      <c r="B4925" s="2" t="s">
        <v>1154</v>
      </c>
      <c r="C4925" s="5" t="s">
        <v>1021</v>
      </c>
      <c r="D4925" s="2" t="s">
        <v>6064</v>
      </c>
    </row>
    <row r="4926" spans="1:4" ht="12.95" customHeight="1" x14ac:dyDescent="0.25">
      <c r="A4926" s="2" t="s">
        <v>734</v>
      </c>
      <c r="B4926" s="2" t="s">
        <v>1154</v>
      </c>
      <c r="C4926" s="5" t="s">
        <v>1023</v>
      </c>
      <c r="D4926" s="2" t="s">
        <v>6084</v>
      </c>
    </row>
    <row r="4927" spans="1:4" ht="12.95" customHeight="1" x14ac:dyDescent="0.25">
      <c r="A4927" s="2" t="s">
        <v>734</v>
      </c>
      <c r="B4927" s="2" t="s">
        <v>1154</v>
      </c>
      <c r="C4927" s="5" t="s">
        <v>1025</v>
      </c>
      <c r="D4927" s="2" t="s">
        <v>6066</v>
      </c>
    </row>
    <row r="4928" spans="1:4" ht="12.95" customHeight="1" x14ac:dyDescent="0.25">
      <c r="A4928" s="2" t="s">
        <v>734</v>
      </c>
      <c r="B4928" s="2" t="s">
        <v>1154</v>
      </c>
      <c r="C4928" s="5" t="s">
        <v>1027</v>
      </c>
      <c r="D4928" s="2" t="s">
        <v>6067</v>
      </c>
    </row>
    <row r="4929" spans="1:4" ht="12.95" customHeight="1" x14ac:dyDescent="0.25">
      <c r="A4929" s="2" t="s">
        <v>734</v>
      </c>
      <c r="B4929" s="2" t="s">
        <v>1154</v>
      </c>
      <c r="C4929" s="5" t="s">
        <v>1029</v>
      </c>
      <c r="D4929" s="2" t="s">
        <v>6068</v>
      </c>
    </row>
    <row r="4930" spans="1:4" ht="12.95" customHeight="1" x14ac:dyDescent="0.25">
      <c r="A4930" s="2" t="s">
        <v>734</v>
      </c>
      <c r="B4930" s="2" t="s">
        <v>1154</v>
      </c>
      <c r="C4930" s="5" t="s">
        <v>1031</v>
      </c>
      <c r="D4930" s="2" t="s">
        <v>6069</v>
      </c>
    </row>
    <row r="4931" spans="1:4" ht="12.95" customHeight="1" x14ac:dyDescent="0.25">
      <c r="A4931" s="2" t="s">
        <v>734</v>
      </c>
      <c r="B4931" s="2" t="s">
        <v>1154</v>
      </c>
      <c r="C4931" s="5" t="s">
        <v>1033</v>
      </c>
      <c r="D4931" s="2" t="s">
        <v>6070</v>
      </c>
    </row>
    <row r="4932" spans="1:4" ht="12.95" customHeight="1" x14ac:dyDescent="0.25">
      <c r="A4932" s="2" t="s">
        <v>734</v>
      </c>
      <c r="B4932" s="2" t="s">
        <v>1154</v>
      </c>
      <c r="C4932" s="5" t="s">
        <v>1035</v>
      </c>
      <c r="D4932" s="2" t="s">
        <v>3129</v>
      </c>
    </row>
    <row r="4933" spans="1:4" ht="12.95" customHeight="1" x14ac:dyDescent="0.25">
      <c r="A4933" s="2" t="s">
        <v>734</v>
      </c>
      <c r="B4933" s="2" t="s">
        <v>1154</v>
      </c>
      <c r="C4933" s="5" t="s">
        <v>1177</v>
      </c>
      <c r="D4933" s="2" t="s">
        <v>6071</v>
      </c>
    </row>
    <row r="4934" spans="1:4" ht="12.95" customHeight="1" x14ac:dyDescent="0.25">
      <c r="A4934" s="2" t="s">
        <v>734</v>
      </c>
      <c r="B4934" s="2" t="s">
        <v>1154</v>
      </c>
      <c r="C4934" s="5" t="s">
        <v>1005</v>
      </c>
      <c r="D4934" s="2" t="s">
        <v>1006</v>
      </c>
    </row>
    <row r="4935" spans="1:4" ht="12.95" customHeight="1" x14ac:dyDescent="0.25">
      <c r="A4935" s="2" t="s">
        <v>736</v>
      </c>
      <c r="B4935" s="2" t="s">
        <v>1154</v>
      </c>
      <c r="C4935" s="5" t="s">
        <v>996</v>
      </c>
      <c r="D4935" s="2" t="s">
        <v>997</v>
      </c>
    </row>
    <row r="4936" spans="1:4" ht="12.95" customHeight="1" x14ac:dyDescent="0.25">
      <c r="A4936" s="2" t="s">
        <v>736</v>
      </c>
      <c r="B4936" s="2" t="s">
        <v>1154</v>
      </c>
      <c r="C4936" s="5" t="s">
        <v>978</v>
      </c>
      <c r="D4936" s="2" t="s">
        <v>979</v>
      </c>
    </row>
    <row r="4937" spans="1:4" ht="12.95" customHeight="1" x14ac:dyDescent="0.25">
      <c r="A4937" s="2" t="s">
        <v>736</v>
      </c>
      <c r="B4937" s="2" t="s">
        <v>1154</v>
      </c>
      <c r="C4937" s="5" t="s">
        <v>980</v>
      </c>
      <c r="D4937" s="2" t="s">
        <v>981</v>
      </c>
    </row>
    <row r="4938" spans="1:4" ht="12.95" customHeight="1" x14ac:dyDescent="0.25">
      <c r="A4938" s="2" t="s">
        <v>736</v>
      </c>
      <c r="B4938" s="2" t="s">
        <v>1154</v>
      </c>
      <c r="C4938" s="5" t="s">
        <v>982</v>
      </c>
      <c r="D4938" s="2" t="s">
        <v>983</v>
      </c>
    </row>
    <row r="4939" spans="1:4" ht="12.95" customHeight="1" x14ac:dyDescent="0.25">
      <c r="A4939" s="2" t="s">
        <v>736</v>
      </c>
      <c r="B4939" s="2" t="s">
        <v>1154</v>
      </c>
      <c r="C4939" s="5" t="s">
        <v>984</v>
      </c>
      <c r="D4939" s="2" t="s">
        <v>853</v>
      </c>
    </row>
    <row r="4940" spans="1:4" ht="12.95" customHeight="1" x14ac:dyDescent="0.25">
      <c r="A4940" s="2" t="s">
        <v>736</v>
      </c>
      <c r="B4940" s="2" t="s">
        <v>1154</v>
      </c>
      <c r="C4940" s="5" t="s">
        <v>986</v>
      </c>
      <c r="D4940" s="2" t="s">
        <v>6076</v>
      </c>
    </row>
    <row r="4941" spans="1:4" ht="12.95" customHeight="1" x14ac:dyDescent="0.25">
      <c r="A4941" s="2" t="s">
        <v>736</v>
      </c>
      <c r="B4941" s="2" t="s">
        <v>1154</v>
      </c>
      <c r="C4941" s="5" t="s">
        <v>988</v>
      </c>
      <c r="D4941" s="2" t="s">
        <v>6096</v>
      </c>
    </row>
    <row r="4942" spans="1:4" ht="12.95" customHeight="1" x14ac:dyDescent="0.25">
      <c r="A4942" s="2" t="s">
        <v>736</v>
      </c>
      <c r="B4942" s="2" t="s">
        <v>1154</v>
      </c>
      <c r="C4942" s="5" t="s">
        <v>990</v>
      </c>
      <c r="D4942" s="2" t="s">
        <v>6057</v>
      </c>
    </row>
    <row r="4943" spans="1:4" ht="12.95" customHeight="1" x14ac:dyDescent="0.25">
      <c r="A4943" s="2" t="s">
        <v>736</v>
      </c>
      <c r="B4943" s="2" t="s">
        <v>1154</v>
      </c>
      <c r="C4943" s="5" t="s">
        <v>992</v>
      </c>
      <c r="D4943" s="2" t="s">
        <v>6077</v>
      </c>
    </row>
    <row r="4944" spans="1:4" ht="12.95" customHeight="1" x14ac:dyDescent="0.25">
      <c r="A4944" s="2" t="s">
        <v>736</v>
      </c>
      <c r="B4944" s="2" t="s">
        <v>1154</v>
      </c>
      <c r="C4944" s="5" t="s">
        <v>994</v>
      </c>
      <c r="D4944" s="2" t="s">
        <v>6078</v>
      </c>
    </row>
    <row r="4945" spans="1:4" ht="12.95" customHeight="1" x14ac:dyDescent="0.25">
      <c r="A4945" s="2" t="s">
        <v>736</v>
      </c>
      <c r="B4945" s="2" t="s">
        <v>1154</v>
      </c>
      <c r="C4945" s="5" t="s">
        <v>1003</v>
      </c>
      <c r="D4945" s="2" t="s">
        <v>6079</v>
      </c>
    </row>
    <row r="4946" spans="1:4" ht="12.95" customHeight="1" x14ac:dyDescent="0.25">
      <c r="A4946" s="2" t="s">
        <v>736</v>
      </c>
      <c r="B4946" s="2" t="s">
        <v>1154</v>
      </c>
      <c r="C4946" s="5" t="s">
        <v>1013</v>
      </c>
      <c r="D4946" s="2" t="s">
        <v>6080</v>
      </c>
    </row>
    <row r="4947" spans="1:4" ht="12.95" customHeight="1" x14ac:dyDescent="0.25">
      <c r="A4947" s="2" t="s">
        <v>736</v>
      </c>
      <c r="B4947" s="2" t="s">
        <v>1154</v>
      </c>
      <c r="C4947" s="5" t="s">
        <v>1015</v>
      </c>
      <c r="D4947" s="2" t="s">
        <v>6081</v>
      </c>
    </row>
    <row r="4948" spans="1:4" ht="12.95" customHeight="1" x14ac:dyDescent="0.25">
      <c r="A4948" s="2" t="s">
        <v>736</v>
      </c>
      <c r="B4948" s="2" t="s">
        <v>1154</v>
      </c>
      <c r="C4948" s="5" t="s">
        <v>1017</v>
      </c>
      <c r="D4948" s="2" t="s">
        <v>6082</v>
      </c>
    </row>
    <row r="4949" spans="1:4" ht="12.95" customHeight="1" x14ac:dyDescent="0.25">
      <c r="A4949" s="2" t="s">
        <v>736</v>
      </c>
      <c r="B4949" s="2" t="s">
        <v>1154</v>
      </c>
      <c r="C4949" s="5" t="s">
        <v>1019</v>
      </c>
      <c r="D4949" s="2" t="s">
        <v>6083</v>
      </c>
    </row>
    <row r="4950" spans="1:4" ht="12.95" customHeight="1" x14ac:dyDescent="0.25">
      <c r="A4950" s="2" t="s">
        <v>736</v>
      </c>
      <c r="B4950" s="2" t="s">
        <v>1154</v>
      </c>
      <c r="C4950" s="5" t="s">
        <v>1021</v>
      </c>
      <c r="D4950" s="2" t="s">
        <v>6064</v>
      </c>
    </row>
    <row r="4951" spans="1:4" ht="12.95" customHeight="1" x14ac:dyDescent="0.25">
      <c r="A4951" s="2" t="s">
        <v>736</v>
      </c>
      <c r="B4951" s="2" t="s">
        <v>1154</v>
      </c>
      <c r="C4951" s="5" t="s">
        <v>1023</v>
      </c>
      <c r="D4951" s="2" t="s">
        <v>6084</v>
      </c>
    </row>
    <row r="4952" spans="1:4" ht="12.95" customHeight="1" x14ac:dyDescent="0.25">
      <c r="A4952" s="2" t="s">
        <v>736</v>
      </c>
      <c r="B4952" s="2" t="s">
        <v>1154</v>
      </c>
      <c r="C4952" s="5" t="s">
        <v>1025</v>
      </c>
      <c r="D4952" s="2" t="s">
        <v>6066</v>
      </c>
    </row>
    <row r="4953" spans="1:4" ht="12.95" customHeight="1" x14ac:dyDescent="0.25">
      <c r="A4953" s="2" t="s">
        <v>736</v>
      </c>
      <c r="B4953" s="2" t="s">
        <v>1154</v>
      </c>
      <c r="C4953" s="5" t="s">
        <v>1027</v>
      </c>
      <c r="D4953" s="2" t="s">
        <v>6067</v>
      </c>
    </row>
    <row r="4954" spans="1:4" ht="12.95" customHeight="1" x14ac:dyDescent="0.25">
      <c r="A4954" s="2" t="s">
        <v>736</v>
      </c>
      <c r="B4954" s="2" t="s">
        <v>1154</v>
      </c>
      <c r="C4954" s="5" t="s">
        <v>1029</v>
      </c>
      <c r="D4954" s="2" t="s">
        <v>6068</v>
      </c>
    </row>
    <row r="4955" spans="1:4" ht="12.95" customHeight="1" x14ac:dyDescent="0.25">
      <c r="A4955" s="2" t="s">
        <v>736</v>
      </c>
      <c r="B4955" s="2" t="s">
        <v>1154</v>
      </c>
      <c r="C4955" s="5" t="s">
        <v>1031</v>
      </c>
      <c r="D4955" s="2" t="s">
        <v>6069</v>
      </c>
    </row>
    <row r="4956" spans="1:4" ht="12.95" customHeight="1" x14ac:dyDescent="0.25">
      <c r="A4956" s="2" t="s">
        <v>736</v>
      </c>
      <c r="B4956" s="2" t="s">
        <v>1154</v>
      </c>
      <c r="C4956" s="5" t="s">
        <v>1033</v>
      </c>
      <c r="D4956" s="2" t="s">
        <v>6070</v>
      </c>
    </row>
    <row r="4957" spans="1:4" ht="12.95" customHeight="1" x14ac:dyDescent="0.25">
      <c r="A4957" s="2" t="s">
        <v>736</v>
      </c>
      <c r="B4957" s="2" t="s">
        <v>1154</v>
      </c>
      <c r="C4957" s="5" t="s">
        <v>1035</v>
      </c>
      <c r="D4957" s="2" t="s">
        <v>3129</v>
      </c>
    </row>
    <row r="4958" spans="1:4" ht="12.95" customHeight="1" x14ac:dyDescent="0.25">
      <c r="A4958" s="2" t="s">
        <v>736</v>
      </c>
      <c r="B4958" s="2" t="s">
        <v>1154</v>
      </c>
      <c r="C4958" s="5" t="s">
        <v>1177</v>
      </c>
      <c r="D4958" s="2" t="s">
        <v>6071</v>
      </c>
    </row>
    <row r="4959" spans="1:4" ht="12.95" customHeight="1" x14ac:dyDescent="0.25">
      <c r="A4959" s="2" t="s">
        <v>736</v>
      </c>
      <c r="B4959" s="2" t="s">
        <v>1154</v>
      </c>
      <c r="C4959" s="5" t="s">
        <v>1005</v>
      </c>
      <c r="D4959" s="2" t="s">
        <v>1006</v>
      </c>
    </row>
    <row r="4960" spans="1:4" ht="12.95" customHeight="1" x14ac:dyDescent="0.25">
      <c r="A4960" s="2" t="s">
        <v>738</v>
      </c>
      <c r="B4960" s="2" t="s">
        <v>1154</v>
      </c>
      <c r="C4960" s="5" t="s">
        <v>996</v>
      </c>
      <c r="D4960" s="2" t="s">
        <v>997</v>
      </c>
    </row>
    <row r="4961" spans="1:4" ht="12.95" customHeight="1" x14ac:dyDescent="0.25">
      <c r="A4961" s="2" t="s">
        <v>738</v>
      </c>
      <c r="B4961" s="2" t="s">
        <v>1154</v>
      </c>
      <c r="C4961" s="5" t="s">
        <v>978</v>
      </c>
      <c r="D4961" s="2" t="s">
        <v>979</v>
      </c>
    </row>
    <row r="4962" spans="1:4" ht="12.95" customHeight="1" x14ac:dyDescent="0.25">
      <c r="A4962" s="2" t="s">
        <v>738</v>
      </c>
      <c r="B4962" s="2" t="s">
        <v>1154</v>
      </c>
      <c r="C4962" s="5" t="s">
        <v>980</v>
      </c>
      <c r="D4962" s="2" t="s">
        <v>981</v>
      </c>
    </row>
    <row r="4963" spans="1:4" ht="12.95" customHeight="1" x14ac:dyDescent="0.25">
      <c r="A4963" s="2" t="s">
        <v>738</v>
      </c>
      <c r="B4963" s="2" t="s">
        <v>1154</v>
      </c>
      <c r="C4963" s="5" t="s">
        <v>982</v>
      </c>
      <c r="D4963" s="2" t="s">
        <v>983</v>
      </c>
    </row>
    <row r="4964" spans="1:4" ht="12.95" customHeight="1" x14ac:dyDescent="0.25">
      <c r="A4964" s="2" t="s">
        <v>738</v>
      </c>
      <c r="B4964" s="2" t="s">
        <v>1154</v>
      </c>
      <c r="C4964" s="5" t="s">
        <v>984</v>
      </c>
      <c r="D4964" s="2" t="s">
        <v>853</v>
      </c>
    </row>
    <row r="4965" spans="1:4" ht="12.95" customHeight="1" x14ac:dyDescent="0.25">
      <c r="A4965" s="2" t="s">
        <v>738</v>
      </c>
      <c r="B4965" s="2" t="s">
        <v>1154</v>
      </c>
      <c r="C4965" s="5" t="s">
        <v>986</v>
      </c>
      <c r="D4965" s="2" t="s">
        <v>6076</v>
      </c>
    </row>
    <row r="4966" spans="1:4" ht="12.95" customHeight="1" x14ac:dyDescent="0.25">
      <c r="A4966" s="2" t="s">
        <v>738</v>
      </c>
      <c r="B4966" s="2" t="s">
        <v>1154</v>
      </c>
      <c r="C4966" s="5" t="s">
        <v>988</v>
      </c>
      <c r="D4966" s="2" t="s">
        <v>6096</v>
      </c>
    </row>
    <row r="4967" spans="1:4" ht="12.95" customHeight="1" x14ac:dyDescent="0.25">
      <c r="A4967" s="2" t="s">
        <v>738</v>
      </c>
      <c r="B4967" s="2" t="s">
        <v>1154</v>
      </c>
      <c r="C4967" s="5" t="s">
        <v>990</v>
      </c>
      <c r="D4967" s="2" t="s">
        <v>6057</v>
      </c>
    </row>
    <row r="4968" spans="1:4" ht="12.95" customHeight="1" x14ac:dyDescent="0.25">
      <c r="A4968" s="2" t="s">
        <v>738</v>
      </c>
      <c r="B4968" s="2" t="s">
        <v>1154</v>
      </c>
      <c r="C4968" s="5" t="s">
        <v>992</v>
      </c>
      <c r="D4968" s="2" t="s">
        <v>6077</v>
      </c>
    </row>
    <row r="4969" spans="1:4" ht="12.95" customHeight="1" x14ac:dyDescent="0.25">
      <c r="A4969" s="2" t="s">
        <v>738</v>
      </c>
      <c r="B4969" s="2" t="s">
        <v>1154</v>
      </c>
      <c r="C4969" s="5" t="s">
        <v>994</v>
      </c>
      <c r="D4969" s="2" t="s">
        <v>6078</v>
      </c>
    </row>
    <row r="4970" spans="1:4" ht="12.95" customHeight="1" x14ac:dyDescent="0.25">
      <c r="A4970" s="2" t="s">
        <v>738</v>
      </c>
      <c r="B4970" s="2" t="s">
        <v>1154</v>
      </c>
      <c r="C4970" s="5" t="s">
        <v>1003</v>
      </c>
      <c r="D4970" s="2" t="s">
        <v>6079</v>
      </c>
    </row>
    <row r="4971" spans="1:4" ht="12.95" customHeight="1" x14ac:dyDescent="0.25">
      <c r="A4971" s="2" t="s">
        <v>738</v>
      </c>
      <c r="B4971" s="2" t="s">
        <v>1154</v>
      </c>
      <c r="C4971" s="5" t="s">
        <v>1013</v>
      </c>
      <c r="D4971" s="2" t="s">
        <v>6080</v>
      </c>
    </row>
    <row r="4972" spans="1:4" ht="12.95" customHeight="1" x14ac:dyDescent="0.25">
      <c r="A4972" s="2" t="s">
        <v>738</v>
      </c>
      <c r="B4972" s="2" t="s">
        <v>1154</v>
      </c>
      <c r="C4972" s="5" t="s">
        <v>1015</v>
      </c>
      <c r="D4972" s="2" t="s">
        <v>6081</v>
      </c>
    </row>
    <row r="4973" spans="1:4" ht="12.95" customHeight="1" x14ac:dyDescent="0.25">
      <c r="A4973" s="2" t="s">
        <v>738</v>
      </c>
      <c r="B4973" s="2" t="s">
        <v>1154</v>
      </c>
      <c r="C4973" s="5" t="s">
        <v>1017</v>
      </c>
      <c r="D4973" s="2" t="s">
        <v>6082</v>
      </c>
    </row>
    <row r="4974" spans="1:4" ht="12.95" customHeight="1" x14ac:dyDescent="0.25">
      <c r="A4974" s="2" t="s">
        <v>738</v>
      </c>
      <c r="B4974" s="2" t="s">
        <v>1154</v>
      </c>
      <c r="C4974" s="5" t="s">
        <v>1019</v>
      </c>
      <c r="D4974" s="2" t="s">
        <v>6083</v>
      </c>
    </row>
    <row r="4975" spans="1:4" ht="12.95" customHeight="1" x14ac:dyDescent="0.25">
      <c r="A4975" s="2" t="s">
        <v>738</v>
      </c>
      <c r="B4975" s="2" t="s">
        <v>1154</v>
      </c>
      <c r="C4975" s="5" t="s">
        <v>1021</v>
      </c>
      <c r="D4975" s="2" t="s">
        <v>6064</v>
      </c>
    </row>
    <row r="4976" spans="1:4" ht="12.95" customHeight="1" x14ac:dyDescent="0.25">
      <c r="A4976" s="2" t="s">
        <v>738</v>
      </c>
      <c r="B4976" s="2" t="s">
        <v>1154</v>
      </c>
      <c r="C4976" s="5" t="s">
        <v>1023</v>
      </c>
      <c r="D4976" s="2" t="s">
        <v>6084</v>
      </c>
    </row>
    <row r="4977" spans="1:4" ht="12.95" customHeight="1" x14ac:dyDescent="0.25">
      <c r="A4977" s="2" t="s">
        <v>738</v>
      </c>
      <c r="B4977" s="2" t="s">
        <v>1154</v>
      </c>
      <c r="C4977" s="5" t="s">
        <v>1025</v>
      </c>
      <c r="D4977" s="2" t="s">
        <v>6066</v>
      </c>
    </row>
    <row r="4978" spans="1:4" ht="12.95" customHeight="1" x14ac:dyDescent="0.25">
      <c r="A4978" s="2" t="s">
        <v>738</v>
      </c>
      <c r="B4978" s="2" t="s">
        <v>1154</v>
      </c>
      <c r="C4978" s="5" t="s">
        <v>1027</v>
      </c>
      <c r="D4978" s="2" t="s">
        <v>6067</v>
      </c>
    </row>
    <row r="4979" spans="1:4" ht="12.95" customHeight="1" x14ac:dyDescent="0.25">
      <c r="A4979" s="2" t="s">
        <v>738</v>
      </c>
      <c r="B4979" s="2" t="s">
        <v>1154</v>
      </c>
      <c r="C4979" s="5" t="s">
        <v>1029</v>
      </c>
      <c r="D4979" s="2" t="s">
        <v>6068</v>
      </c>
    </row>
    <row r="4980" spans="1:4" ht="12.95" customHeight="1" x14ac:dyDescent="0.25">
      <c r="A4980" s="2" t="s">
        <v>738</v>
      </c>
      <c r="B4980" s="2" t="s">
        <v>1154</v>
      </c>
      <c r="C4980" s="5" t="s">
        <v>1031</v>
      </c>
      <c r="D4980" s="2" t="s">
        <v>6069</v>
      </c>
    </row>
    <row r="4981" spans="1:4" ht="12.95" customHeight="1" x14ac:dyDescent="0.25">
      <c r="A4981" s="2" t="s">
        <v>738</v>
      </c>
      <c r="B4981" s="2" t="s">
        <v>1154</v>
      </c>
      <c r="C4981" s="5" t="s">
        <v>1033</v>
      </c>
      <c r="D4981" s="2" t="s">
        <v>6070</v>
      </c>
    </row>
    <row r="4982" spans="1:4" ht="12.95" customHeight="1" x14ac:dyDescent="0.25">
      <c r="A4982" s="2" t="s">
        <v>738</v>
      </c>
      <c r="B4982" s="2" t="s">
        <v>1154</v>
      </c>
      <c r="C4982" s="5" t="s">
        <v>1035</v>
      </c>
      <c r="D4982" s="2" t="s">
        <v>3129</v>
      </c>
    </row>
    <row r="4983" spans="1:4" ht="12.95" customHeight="1" x14ac:dyDescent="0.25">
      <c r="A4983" s="2" t="s">
        <v>738</v>
      </c>
      <c r="B4983" s="2" t="s">
        <v>1154</v>
      </c>
      <c r="C4983" s="5" t="s">
        <v>1177</v>
      </c>
      <c r="D4983" s="2" t="s">
        <v>6071</v>
      </c>
    </row>
    <row r="4984" spans="1:4" ht="12.95" customHeight="1" x14ac:dyDescent="0.25">
      <c r="A4984" s="2" t="s">
        <v>738</v>
      </c>
      <c r="B4984" s="2" t="s">
        <v>1154</v>
      </c>
      <c r="C4984" s="5" t="s">
        <v>1005</v>
      </c>
      <c r="D4984" s="2" t="s">
        <v>1006</v>
      </c>
    </row>
    <row r="4985" spans="1:4" ht="12.95" customHeight="1" x14ac:dyDescent="0.25">
      <c r="A4985" s="2" t="s">
        <v>740</v>
      </c>
      <c r="B4985" s="2" t="s">
        <v>1154</v>
      </c>
      <c r="C4985" s="5" t="s">
        <v>996</v>
      </c>
      <c r="D4985" s="2" t="s">
        <v>997</v>
      </c>
    </row>
    <row r="4986" spans="1:4" ht="12.95" customHeight="1" x14ac:dyDescent="0.25">
      <c r="A4986" s="2" t="s">
        <v>740</v>
      </c>
      <c r="B4986" s="2" t="s">
        <v>1154</v>
      </c>
      <c r="C4986" s="5" t="s">
        <v>978</v>
      </c>
      <c r="D4986" s="2" t="s">
        <v>979</v>
      </c>
    </row>
    <row r="4987" spans="1:4" ht="12.95" customHeight="1" x14ac:dyDescent="0.25">
      <c r="A4987" s="2" t="s">
        <v>740</v>
      </c>
      <c r="B4987" s="2" t="s">
        <v>1154</v>
      </c>
      <c r="C4987" s="5" t="s">
        <v>980</v>
      </c>
      <c r="D4987" s="2" t="s">
        <v>981</v>
      </c>
    </row>
    <row r="4988" spans="1:4" ht="12.95" customHeight="1" x14ac:dyDescent="0.25">
      <c r="A4988" s="2" t="s">
        <v>740</v>
      </c>
      <c r="B4988" s="2" t="s">
        <v>1154</v>
      </c>
      <c r="C4988" s="5" t="s">
        <v>982</v>
      </c>
      <c r="D4988" s="2" t="s">
        <v>983</v>
      </c>
    </row>
    <row r="4989" spans="1:4" ht="12.95" customHeight="1" x14ac:dyDescent="0.25">
      <c r="A4989" s="2" t="s">
        <v>740</v>
      </c>
      <c r="B4989" s="2" t="s">
        <v>1154</v>
      </c>
      <c r="C4989" s="5" t="s">
        <v>984</v>
      </c>
      <c r="D4989" s="2" t="s">
        <v>853</v>
      </c>
    </row>
    <row r="4990" spans="1:4" ht="12.95" customHeight="1" x14ac:dyDescent="0.25">
      <c r="A4990" s="2" t="s">
        <v>740</v>
      </c>
      <c r="B4990" s="2" t="s">
        <v>1154</v>
      </c>
      <c r="C4990" s="5" t="s">
        <v>986</v>
      </c>
      <c r="D4990" s="2" t="s">
        <v>6076</v>
      </c>
    </row>
    <row r="4991" spans="1:4" ht="12.95" customHeight="1" x14ac:dyDescent="0.25">
      <c r="A4991" s="2" t="s">
        <v>740</v>
      </c>
      <c r="B4991" s="2" t="s">
        <v>1154</v>
      </c>
      <c r="C4991" s="5" t="s">
        <v>988</v>
      </c>
      <c r="D4991" s="2" t="s">
        <v>6096</v>
      </c>
    </row>
    <row r="4992" spans="1:4" ht="12.95" customHeight="1" x14ac:dyDescent="0.25">
      <c r="A4992" s="2" t="s">
        <v>740</v>
      </c>
      <c r="B4992" s="2" t="s">
        <v>1154</v>
      </c>
      <c r="C4992" s="5" t="s">
        <v>990</v>
      </c>
      <c r="D4992" s="2" t="s">
        <v>6057</v>
      </c>
    </row>
    <row r="4993" spans="1:4" ht="12.95" customHeight="1" x14ac:dyDescent="0.25">
      <c r="A4993" s="2" t="s">
        <v>740</v>
      </c>
      <c r="B4993" s="2" t="s">
        <v>1154</v>
      </c>
      <c r="C4993" s="5" t="s">
        <v>992</v>
      </c>
      <c r="D4993" s="2" t="s">
        <v>6077</v>
      </c>
    </row>
    <row r="4994" spans="1:4" ht="12.95" customHeight="1" x14ac:dyDescent="0.25">
      <c r="A4994" s="2" t="s">
        <v>740</v>
      </c>
      <c r="B4994" s="2" t="s">
        <v>1154</v>
      </c>
      <c r="C4994" s="5" t="s">
        <v>994</v>
      </c>
      <c r="D4994" s="2" t="s">
        <v>6078</v>
      </c>
    </row>
    <row r="4995" spans="1:4" ht="12.95" customHeight="1" x14ac:dyDescent="0.25">
      <c r="A4995" s="2" t="s">
        <v>740</v>
      </c>
      <c r="B4995" s="2" t="s">
        <v>1154</v>
      </c>
      <c r="C4995" s="5" t="s">
        <v>1003</v>
      </c>
      <c r="D4995" s="2" t="s">
        <v>6079</v>
      </c>
    </row>
    <row r="4996" spans="1:4" ht="12.95" customHeight="1" x14ac:dyDescent="0.25">
      <c r="A4996" s="2" t="s">
        <v>740</v>
      </c>
      <c r="B4996" s="2" t="s">
        <v>1154</v>
      </c>
      <c r="C4996" s="5" t="s">
        <v>1013</v>
      </c>
      <c r="D4996" s="2" t="s">
        <v>6080</v>
      </c>
    </row>
    <row r="4997" spans="1:4" ht="12.95" customHeight="1" x14ac:dyDescent="0.25">
      <c r="A4997" s="2" t="s">
        <v>740</v>
      </c>
      <c r="B4997" s="2" t="s">
        <v>1154</v>
      </c>
      <c r="C4997" s="5" t="s">
        <v>1015</v>
      </c>
      <c r="D4997" s="2" t="s">
        <v>6081</v>
      </c>
    </row>
    <row r="4998" spans="1:4" ht="12.95" customHeight="1" x14ac:dyDescent="0.25">
      <c r="A4998" s="2" t="s">
        <v>740</v>
      </c>
      <c r="B4998" s="2" t="s">
        <v>1154</v>
      </c>
      <c r="C4998" s="5" t="s">
        <v>1017</v>
      </c>
      <c r="D4998" s="2" t="s">
        <v>6082</v>
      </c>
    </row>
    <row r="4999" spans="1:4" ht="12.95" customHeight="1" x14ac:dyDescent="0.25">
      <c r="A4999" s="2" t="s">
        <v>740</v>
      </c>
      <c r="B4999" s="2" t="s">
        <v>1154</v>
      </c>
      <c r="C4999" s="5" t="s">
        <v>1019</v>
      </c>
      <c r="D4999" s="2" t="s">
        <v>6083</v>
      </c>
    </row>
    <row r="5000" spans="1:4" ht="12.95" customHeight="1" x14ac:dyDescent="0.25">
      <c r="A5000" s="2" t="s">
        <v>740</v>
      </c>
      <c r="B5000" s="2" t="s">
        <v>1154</v>
      </c>
      <c r="C5000" s="5" t="s">
        <v>1021</v>
      </c>
      <c r="D5000" s="2" t="s">
        <v>6064</v>
      </c>
    </row>
    <row r="5001" spans="1:4" ht="12.95" customHeight="1" x14ac:dyDescent="0.25">
      <c r="A5001" s="2" t="s">
        <v>740</v>
      </c>
      <c r="B5001" s="2" t="s">
        <v>1154</v>
      </c>
      <c r="C5001" s="5" t="s">
        <v>1023</v>
      </c>
      <c r="D5001" s="2" t="s">
        <v>6084</v>
      </c>
    </row>
    <row r="5002" spans="1:4" ht="12.95" customHeight="1" x14ac:dyDescent="0.25">
      <c r="A5002" s="2" t="s">
        <v>740</v>
      </c>
      <c r="B5002" s="2" t="s">
        <v>1154</v>
      </c>
      <c r="C5002" s="5" t="s">
        <v>1025</v>
      </c>
      <c r="D5002" s="2" t="s">
        <v>6066</v>
      </c>
    </row>
    <row r="5003" spans="1:4" ht="12.95" customHeight="1" x14ac:dyDescent="0.25">
      <c r="A5003" s="2" t="s">
        <v>740</v>
      </c>
      <c r="B5003" s="2" t="s">
        <v>1154</v>
      </c>
      <c r="C5003" s="5" t="s">
        <v>1027</v>
      </c>
      <c r="D5003" s="2" t="s">
        <v>6067</v>
      </c>
    </row>
    <row r="5004" spans="1:4" ht="12.95" customHeight="1" x14ac:dyDescent="0.25">
      <c r="A5004" s="2" t="s">
        <v>740</v>
      </c>
      <c r="B5004" s="2" t="s">
        <v>1154</v>
      </c>
      <c r="C5004" s="5" t="s">
        <v>1029</v>
      </c>
      <c r="D5004" s="2" t="s">
        <v>6068</v>
      </c>
    </row>
    <row r="5005" spans="1:4" ht="12.95" customHeight="1" x14ac:dyDescent="0.25">
      <c r="A5005" s="2" t="s">
        <v>740</v>
      </c>
      <c r="B5005" s="2" t="s">
        <v>1154</v>
      </c>
      <c r="C5005" s="5" t="s">
        <v>1031</v>
      </c>
      <c r="D5005" s="2" t="s">
        <v>6069</v>
      </c>
    </row>
    <row r="5006" spans="1:4" ht="12.95" customHeight="1" x14ac:dyDescent="0.25">
      <c r="A5006" s="2" t="s">
        <v>740</v>
      </c>
      <c r="B5006" s="2" t="s">
        <v>1154</v>
      </c>
      <c r="C5006" s="5" t="s">
        <v>1033</v>
      </c>
      <c r="D5006" s="2" t="s">
        <v>6070</v>
      </c>
    </row>
    <row r="5007" spans="1:4" ht="12.95" customHeight="1" x14ac:dyDescent="0.25">
      <c r="A5007" s="2" t="s">
        <v>740</v>
      </c>
      <c r="B5007" s="2" t="s">
        <v>1154</v>
      </c>
      <c r="C5007" s="5" t="s">
        <v>1035</v>
      </c>
      <c r="D5007" s="2" t="s">
        <v>3129</v>
      </c>
    </row>
    <row r="5008" spans="1:4" ht="12.95" customHeight="1" x14ac:dyDescent="0.25">
      <c r="A5008" s="2" t="s">
        <v>740</v>
      </c>
      <c r="B5008" s="2" t="s">
        <v>1154</v>
      </c>
      <c r="C5008" s="5" t="s">
        <v>1177</v>
      </c>
      <c r="D5008" s="2" t="s">
        <v>6071</v>
      </c>
    </row>
    <row r="5009" spans="1:4" ht="12.95" customHeight="1" x14ac:dyDescent="0.25">
      <c r="A5009" s="2" t="s">
        <v>740</v>
      </c>
      <c r="B5009" s="2" t="s">
        <v>1154</v>
      </c>
      <c r="C5009" s="5" t="s">
        <v>1005</v>
      </c>
      <c r="D5009" s="2" t="s">
        <v>1006</v>
      </c>
    </row>
    <row r="5010" spans="1:4" ht="12.95" customHeight="1" x14ac:dyDescent="0.25">
      <c r="A5010" s="2" t="s">
        <v>742</v>
      </c>
      <c r="B5010" s="2" t="s">
        <v>1154</v>
      </c>
      <c r="C5010" s="5" t="s">
        <v>996</v>
      </c>
      <c r="D5010" s="2" t="s">
        <v>997</v>
      </c>
    </row>
    <row r="5011" spans="1:4" ht="12.95" customHeight="1" x14ac:dyDescent="0.25">
      <c r="A5011" s="2" t="s">
        <v>742</v>
      </c>
      <c r="B5011" s="2" t="s">
        <v>1154</v>
      </c>
      <c r="C5011" s="5" t="s">
        <v>978</v>
      </c>
      <c r="D5011" s="2" t="s">
        <v>979</v>
      </c>
    </row>
    <row r="5012" spans="1:4" ht="12.95" customHeight="1" x14ac:dyDescent="0.25">
      <c r="A5012" s="2" t="s">
        <v>742</v>
      </c>
      <c r="B5012" s="2" t="s">
        <v>1154</v>
      </c>
      <c r="C5012" s="5" t="s">
        <v>980</v>
      </c>
      <c r="D5012" s="2" t="s">
        <v>981</v>
      </c>
    </row>
    <row r="5013" spans="1:4" ht="12.95" customHeight="1" x14ac:dyDescent="0.25">
      <c r="A5013" s="2" t="s">
        <v>742</v>
      </c>
      <c r="B5013" s="2" t="s">
        <v>1154</v>
      </c>
      <c r="C5013" s="5" t="s">
        <v>982</v>
      </c>
      <c r="D5013" s="2" t="s">
        <v>983</v>
      </c>
    </row>
    <row r="5014" spans="1:4" ht="12.95" customHeight="1" x14ac:dyDescent="0.25">
      <c r="A5014" s="2" t="s">
        <v>742</v>
      </c>
      <c r="B5014" s="2" t="s">
        <v>1154</v>
      </c>
      <c r="C5014" s="5" t="s">
        <v>984</v>
      </c>
      <c r="D5014" s="2" t="s">
        <v>853</v>
      </c>
    </row>
    <row r="5015" spans="1:4" ht="12.95" customHeight="1" x14ac:dyDescent="0.25">
      <c r="A5015" s="2" t="s">
        <v>742</v>
      </c>
      <c r="B5015" s="2" t="s">
        <v>1154</v>
      </c>
      <c r="C5015" s="5" t="s">
        <v>986</v>
      </c>
      <c r="D5015" s="2" t="s">
        <v>6076</v>
      </c>
    </row>
    <row r="5016" spans="1:4" ht="12.95" customHeight="1" x14ac:dyDescent="0.25">
      <c r="A5016" s="2" t="s">
        <v>742</v>
      </c>
      <c r="B5016" s="2" t="s">
        <v>1154</v>
      </c>
      <c r="C5016" s="5" t="s">
        <v>988</v>
      </c>
      <c r="D5016" s="2" t="s">
        <v>6096</v>
      </c>
    </row>
    <row r="5017" spans="1:4" ht="12.95" customHeight="1" x14ac:dyDescent="0.25">
      <c r="A5017" s="2" t="s">
        <v>742</v>
      </c>
      <c r="B5017" s="2" t="s">
        <v>1154</v>
      </c>
      <c r="C5017" s="5" t="s">
        <v>990</v>
      </c>
      <c r="D5017" s="2" t="s">
        <v>6057</v>
      </c>
    </row>
    <row r="5018" spans="1:4" ht="12.95" customHeight="1" x14ac:dyDescent="0.25">
      <c r="A5018" s="2" t="s">
        <v>742</v>
      </c>
      <c r="B5018" s="2" t="s">
        <v>1154</v>
      </c>
      <c r="C5018" s="5" t="s">
        <v>992</v>
      </c>
      <c r="D5018" s="2" t="s">
        <v>6077</v>
      </c>
    </row>
    <row r="5019" spans="1:4" ht="12.95" customHeight="1" x14ac:dyDescent="0.25">
      <c r="A5019" s="2" t="s">
        <v>742</v>
      </c>
      <c r="B5019" s="2" t="s">
        <v>1154</v>
      </c>
      <c r="C5019" s="5" t="s">
        <v>994</v>
      </c>
      <c r="D5019" s="2" t="s">
        <v>6078</v>
      </c>
    </row>
    <row r="5020" spans="1:4" ht="12.95" customHeight="1" x14ac:dyDescent="0.25">
      <c r="A5020" s="2" t="s">
        <v>742</v>
      </c>
      <c r="B5020" s="2" t="s">
        <v>1154</v>
      </c>
      <c r="C5020" s="5" t="s">
        <v>1003</v>
      </c>
      <c r="D5020" s="2" t="s">
        <v>6079</v>
      </c>
    </row>
    <row r="5021" spans="1:4" ht="12.95" customHeight="1" x14ac:dyDescent="0.25">
      <c r="A5021" s="2" t="s">
        <v>742</v>
      </c>
      <c r="B5021" s="2" t="s">
        <v>1154</v>
      </c>
      <c r="C5021" s="5" t="s">
        <v>1013</v>
      </c>
      <c r="D5021" s="2" t="s">
        <v>6080</v>
      </c>
    </row>
    <row r="5022" spans="1:4" ht="12.95" customHeight="1" x14ac:dyDescent="0.25">
      <c r="A5022" s="2" t="s">
        <v>742</v>
      </c>
      <c r="B5022" s="2" t="s">
        <v>1154</v>
      </c>
      <c r="C5022" s="5" t="s">
        <v>1015</v>
      </c>
      <c r="D5022" s="2" t="s">
        <v>6081</v>
      </c>
    </row>
    <row r="5023" spans="1:4" ht="12.95" customHeight="1" x14ac:dyDescent="0.25">
      <c r="A5023" s="2" t="s">
        <v>742</v>
      </c>
      <c r="B5023" s="2" t="s">
        <v>1154</v>
      </c>
      <c r="C5023" s="5" t="s">
        <v>1017</v>
      </c>
      <c r="D5023" s="2" t="s">
        <v>6082</v>
      </c>
    </row>
    <row r="5024" spans="1:4" ht="12.95" customHeight="1" x14ac:dyDescent="0.25">
      <c r="A5024" s="2" t="s">
        <v>742</v>
      </c>
      <c r="B5024" s="2" t="s">
        <v>1154</v>
      </c>
      <c r="C5024" s="5" t="s">
        <v>1019</v>
      </c>
      <c r="D5024" s="2" t="s">
        <v>6083</v>
      </c>
    </row>
    <row r="5025" spans="1:4" ht="12.95" customHeight="1" x14ac:dyDescent="0.25">
      <c r="A5025" s="2" t="s">
        <v>742</v>
      </c>
      <c r="B5025" s="2" t="s">
        <v>1154</v>
      </c>
      <c r="C5025" s="5" t="s">
        <v>1021</v>
      </c>
      <c r="D5025" s="2" t="s">
        <v>6064</v>
      </c>
    </row>
    <row r="5026" spans="1:4" ht="12.95" customHeight="1" x14ac:dyDescent="0.25">
      <c r="A5026" s="2" t="s">
        <v>742</v>
      </c>
      <c r="B5026" s="2" t="s">
        <v>1154</v>
      </c>
      <c r="C5026" s="5" t="s">
        <v>1023</v>
      </c>
      <c r="D5026" s="2" t="s">
        <v>6084</v>
      </c>
    </row>
    <row r="5027" spans="1:4" ht="12.95" customHeight="1" x14ac:dyDescent="0.25">
      <c r="A5027" s="2" t="s">
        <v>742</v>
      </c>
      <c r="B5027" s="2" t="s">
        <v>1154</v>
      </c>
      <c r="C5027" s="5" t="s">
        <v>1025</v>
      </c>
      <c r="D5027" s="2" t="s">
        <v>6066</v>
      </c>
    </row>
    <row r="5028" spans="1:4" ht="12.95" customHeight="1" x14ac:dyDescent="0.25">
      <c r="A5028" s="2" t="s">
        <v>742</v>
      </c>
      <c r="B5028" s="2" t="s">
        <v>1154</v>
      </c>
      <c r="C5028" s="5" t="s">
        <v>1027</v>
      </c>
      <c r="D5028" s="2" t="s">
        <v>6067</v>
      </c>
    </row>
    <row r="5029" spans="1:4" ht="12.95" customHeight="1" x14ac:dyDescent="0.25">
      <c r="A5029" s="2" t="s">
        <v>742</v>
      </c>
      <c r="B5029" s="2" t="s">
        <v>1154</v>
      </c>
      <c r="C5029" s="5" t="s">
        <v>1029</v>
      </c>
      <c r="D5029" s="2" t="s">
        <v>6068</v>
      </c>
    </row>
    <row r="5030" spans="1:4" ht="12.95" customHeight="1" x14ac:dyDescent="0.25">
      <c r="A5030" s="2" t="s">
        <v>742</v>
      </c>
      <c r="B5030" s="2" t="s">
        <v>1154</v>
      </c>
      <c r="C5030" s="5" t="s">
        <v>1031</v>
      </c>
      <c r="D5030" s="2" t="s">
        <v>6069</v>
      </c>
    </row>
    <row r="5031" spans="1:4" ht="12.95" customHeight="1" x14ac:dyDescent="0.25">
      <c r="A5031" s="2" t="s">
        <v>742</v>
      </c>
      <c r="B5031" s="2" t="s">
        <v>1154</v>
      </c>
      <c r="C5031" s="5" t="s">
        <v>1033</v>
      </c>
      <c r="D5031" s="2" t="s">
        <v>6070</v>
      </c>
    </row>
    <row r="5032" spans="1:4" ht="12.95" customHeight="1" x14ac:dyDescent="0.25">
      <c r="A5032" s="2" t="s">
        <v>742</v>
      </c>
      <c r="B5032" s="2" t="s">
        <v>1154</v>
      </c>
      <c r="C5032" s="5" t="s">
        <v>1035</v>
      </c>
      <c r="D5032" s="2" t="s">
        <v>3129</v>
      </c>
    </row>
    <row r="5033" spans="1:4" ht="12.95" customHeight="1" x14ac:dyDescent="0.25">
      <c r="A5033" s="2" t="s">
        <v>742</v>
      </c>
      <c r="B5033" s="2" t="s">
        <v>1154</v>
      </c>
      <c r="C5033" s="5" t="s">
        <v>1177</v>
      </c>
      <c r="D5033" s="2" t="s">
        <v>6071</v>
      </c>
    </row>
    <row r="5034" spans="1:4" ht="12.95" customHeight="1" x14ac:dyDescent="0.25">
      <c r="A5034" s="2" t="s">
        <v>742</v>
      </c>
      <c r="B5034" s="2" t="s">
        <v>1154</v>
      </c>
      <c r="C5034" s="5" t="s">
        <v>1005</v>
      </c>
      <c r="D5034" s="2" t="s">
        <v>1006</v>
      </c>
    </row>
    <row r="5035" spans="1:4" ht="12.95" customHeight="1" x14ac:dyDescent="0.25">
      <c r="A5035" s="2" t="s">
        <v>744</v>
      </c>
      <c r="B5035" s="2" t="s">
        <v>1154</v>
      </c>
      <c r="C5035" s="5" t="s">
        <v>996</v>
      </c>
      <c r="D5035" s="2" t="s">
        <v>997</v>
      </c>
    </row>
    <row r="5036" spans="1:4" ht="12.95" customHeight="1" x14ac:dyDescent="0.25">
      <c r="A5036" s="2" t="s">
        <v>744</v>
      </c>
      <c r="B5036" s="2" t="s">
        <v>1154</v>
      </c>
      <c r="C5036" s="5" t="s">
        <v>978</v>
      </c>
      <c r="D5036" s="2" t="s">
        <v>979</v>
      </c>
    </row>
    <row r="5037" spans="1:4" ht="12.95" customHeight="1" x14ac:dyDescent="0.25">
      <c r="A5037" s="2" t="s">
        <v>744</v>
      </c>
      <c r="B5037" s="2" t="s">
        <v>1154</v>
      </c>
      <c r="C5037" s="5" t="s">
        <v>980</v>
      </c>
      <c r="D5037" s="2" t="s">
        <v>981</v>
      </c>
    </row>
    <row r="5038" spans="1:4" ht="12.95" customHeight="1" x14ac:dyDescent="0.25">
      <c r="A5038" s="2" t="s">
        <v>744</v>
      </c>
      <c r="B5038" s="2" t="s">
        <v>1154</v>
      </c>
      <c r="C5038" s="5" t="s">
        <v>982</v>
      </c>
      <c r="D5038" s="2" t="s">
        <v>983</v>
      </c>
    </row>
    <row r="5039" spans="1:4" ht="12.95" customHeight="1" x14ac:dyDescent="0.25">
      <c r="A5039" s="2" t="s">
        <v>744</v>
      </c>
      <c r="B5039" s="2" t="s">
        <v>1154</v>
      </c>
      <c r="C5039" s="5" t="s">
        <v>984</v>
      </c>
      <c r="D5039" s="2" t="s">
        <v>853</v>
      </c>
    </row>
    <row r="5040" spans="1:4" ht="12.95" customHeight="1" x14ac:dyDescent="0.25">
      <c r="A5040" s="2" t="s">
        <v>744</v>
      </c>
      <c r="B5040" s="2" t="s">
        <v>1154</v>
      </c>
      <c r="C5040" s="5" t="s">
        <v>986</v>
      </c>
      <c r="D5040" s="2" t="s">
        <v>6076</v>
      </c>
    </row>
    <row r="5041" spans="1:4" ht="12.95" customHeight="1" x14ac:dyDescent="0.25">
      <c r="A5041" s="2" t="s">
        <v>744</v>
      </c>
      <c r="B5041" s="2" t="s">
        <v>1154</v>
      </c>
      <c r="C5041" s="5" t="s">
        <v>988</v>
      </c>
      <c r="D5041" s="2" t="s">
        <v>6096</v>
      </c>
    </row>
    <row r="5042" spans="1:4" ht="12.95" customHeight="1" x14ac:dyDescent="0.25">
      <c r="A5042" s="2" t="s">
        <v>744</v>
      </c>
      <c r="B5042" s="2" t="s">
        <v>1154</v>
      </c>
      <c r="C5042" s="5" t="s">
        <v>990</v>
      </c>
      <c r="D5042" s="2" t="s">
        <v>6057</v>
      </c>
    </row>
    <row r="5043" spans="1:4" ht="12.95" customHeight="1" x14ac:dyDescent="0.25">
      <c r="A5043" s="2" t="s">
        <v>744</v>
      </c>
      <c r="B5043" s="2" t="s">
        <v>1154</v>
      </c>
      <c r="C5043" s="5" t="s">
        <v>992</v>
      </c>
      <c r="D5043" s="2" t="s">
        <v>6077</v>
      </c>
    </row>
    <row r="5044" spans="1:4" ht="12.95" customHeight="1" x14ac:dyDescent="0.25">
      <c r="A5044" s="2" t="s">
        <v>744</v>
      </c>
      <c r="B5044" s="2" t="s">
        <v>1154</v>
      </c>
      <c r="C5044" s="5" t="s">
        <v>994</v>
      </c>
      <c r="D5044" s="2" t="s">
        <v>6078</v>
      </c>
    </row>
    <row r="5045" spans="1:4" ht="12.95" customHeight="1" x14ac:dyDescent="0.25">
      <c r="A5045" s="2" t="s">
        <v>744</v>
      </c>
      <c r="B5045" s="2" t="s">
        <v>1154</v>
      </c>
      <c r="C5045" s="5" t="s">
        <v>1003</v>
      </c>
      <c r="D5045" s="2" t="s">
        <v>6079</v>
      </c>
    </row>
    <row r="5046" spans="1:4" ht="12.95" customHeight="1" x14ac:dyDescent="0.25">
      <c r="A5046" s="2" t="s">
        <v>744</v>
      </c>
      <c r="B5046" s="2" t="s">
        <v>1154</v>
      </c>
      <c r="C5046" s="5" t="s">
        <v>1013</v>
      </c>
      <c r="D5046" s="2" t="s">
        <v>6080</v>
      </c>
    </row>
    <row r="5047" spans="1:4" ht="12.95" customHeight="1" x14ac:dyDescent="0.25">
      <c r="A5047" s="2" t="s">
        <v>744</v>
      </c>
      <c r="B5047" s="2" t="s">
        <v>1154</v>
      </c>
      <c r="C5047" s="5" t="s">
        <v>1015</v>
      </c>
      <c r="D5047" s="2" t="s">
        <v>6081</v>
      </c>
    </row>
    <row r="5048" spans="1:4" ht="12.95" customHeight="1" x14ac:dyDescent="0.25">
      <c r="A5048" s="2" t="s">
        <v>744</v>
      </c>
      <c r="B5048" s="2" t="s">
        <v>1154</v>
      </c>
      <c r="C5048" s="5" t="s">
        <v>1017</v>
      </c>
      <c r="D5048" s="2" t="s">
        <v>6082</v>
      </c>
    </row>
    <row r="5049" spans="1:4" ht="12.95" customHeight="1" x14ac:dyDescent="0.25">
      <c r="A5049" s="2" t="s">
        <v>744</v>
      </c>
      <c r="B5049" s="2" t="s">
        <v>1154</v>
      </c>
      <c r="C5049" s="5" t="s">
        <v>1019</v>
      </c>
      <c r="D5049" s="2" t="s">
        <v>6083</v>
      </c>
    </row>
    <row r="5050" spans="1:4" ht="12.95" customHeight="1" x14ac:dyDescent="0.25">
      <c r="A5050" s="2" t="s">
        <v>744</v>
      </c>
      <c r="B5050" s="2" t="s">
        <v>1154</v>
      </c>
      <c r="C5050" s="5" t="s">
        <v>1021</v>
      </c>
      <c r="D5050" s="2" t="s">
        <v>6064</v>
      </c>
    </row>
    <row r="5051" spans="1:4" ht="12.95" customHeight="1" x14ac:dyDescent="0.25">
      <c r="A5051" s="2" t="s">
        <v>744</v>
      </c>
      <c r="B5051" s="2" t="s">
        <v>1154</v>
      </c>
      <c r="C5051" s="5" t="s">
        <v>1023</v>
      </c>
      <c r="D5051" s="2" t="s">
        <v>6084</v>
      </c>
    </row>
    <row r="5052" spans="1:4" ht="12.95" customHeight="1" x14ac:dyDescent="0.25">
      <c r="A5052" s="2" t="s">
        <v>744</v>
      </c>
      <c r="B5052" s="2" t="s">
        <v>1154</v>
      </c>
      <c r="C5052" s="5" t="s">
        <v>1025</v>
      </c>
      <c r="D5052" s="2" t="s">
        <v>6066</v>
      </c>
    </row>
    <row r="5053" spans="1:4" ht="12.95" customHeight="1" x14ac:dyDescent="0.25">
      <c r="A5053" s="2" t="s">
        <v>744</v>
      </c>
      <c r="B5053" s="2" t="s">
        <v>1154</v>
      </c>
      <c r="C5053" s="5" t="s">
        <v>1027</v>
      </c>
      <c r="D5053" s="2" t="s">
        <v>6067</v>
      </c>
    </row>
    <row r="5054" spans="1:4" ht="12.95" customHeight="1" x14ac:dyDescent="0.25">
      <c r="A5054" s="2" t="s">
        <v>744</v>
      </c>
      <c r="B5054" s="2" t="s">
        <v>1154</v>
      </c>
      <c r="C5054" s="5" t="s">
        <v>1029</v>
      </c>
      <c r="D5054" s="2" t="s">
        <v>6068</v>
      </c>
    </row>
    <row r="5055" spans="1:4" ht="12.95" customHeight="1" x14ac:dyDescent="0.25">
      <c r="A5055" s="2" t="s">
        <v>744</v>
      </c>
      <c r="B5055" s="2" t="s">
        <v>1154</v>
      </c>
      <c r="C5055" s="5" t="s">
        <v>1031</v>
      </c>
      <c r="D5055" s="2" t="s">
        <v>6069</v>
      </c>
    </row>
    <row r="5056" spans="1:4" ht="12.95" customHeight="1" x14ac:dyDescent="0.25">
      <c r="A5056" s="2" t="s">
        <v>744</v>
      </c>
      <c r="B5056" s="2" t="s">
        <v>1154</v>
      </c>
      <c r="C5056" s="5" t="s">
        <v>1033</v>
      </c>
      <c r="D5056" s="2" t="s">
        <v>6070</v>
      </c>
    </row>
    <row r="5057" spans="1:4" ht="12.95" customHeight="1" x14ac:dyDescent="0.25">
      <c r="A5057" s="2" t="s">
        <v>744</v>
      </c>
      <c r="B5057" s="2" t="s">
        <v>1154</v>
      </c>
      <c r="C5057" s="5" t="s">
        <v>1035</v>
      </c>
      <c r="D5057" s="2" t="s">
        <v>3129</v>
      </c>
    </row>
    <row r="5058" spans="1:4" ht="12.95" customHeight="1" x14ac:dyDescent="0.25">
      <c r="A5058" s="2" t="s">
        <v>744</v>
      </c>
      <c r="B5058" s="2" t="s">
        <v>1154</v>
      </c>
      <c r="C5058" s="5" t="s">
        <v>1177</v>
      </c>
      <c r="D5058" s="2" t="s">
        <v>6071</v>
      </c>
    </row>
    <row r="5059" spans="1:4" ht="12.95" customHeight="1" x14ac:dyDescent="0.25">
      <c r="A5059" s="2" t="s">
        <v>744</v>
      </c>
      <c r="B5059" s="2" t="s">
        <v>1154</v>
      </c>
      <c r="C5059" s="5" t="s">
        <v>1005</v>
      </c>
      <c r="D5059" s="2" t="s">
        <v>1006</v>
      </c>
    </row>
    <row r="5060" spans="1:4" ht="12.95" customHeight="1" x14ac:dyDescent="0.25">
      <c r="A5060" s="2" t="s">
        <v>746</v>
      </c>
      <c r="B5060" s="2" t="s">
        <v>1154</v>
      </c>
      <c r="C5060" s="5" t="s">
        <v>996</v>
      </c>
      <c r="D5060" s="2" t="s">
        <v>997</v>
      </c>
    </row>
    <row r="5061" spans="1:4" ht="12.95" customHeight="1" x14ac:dyDescent="0.25">
      <c r="A5061" s="2" t="s">
        <v>746</v>
      </c>
      <c r="B5061" s="2" t="s">
        <v>1154</v>
      </c>
      <c r="C5061" s="5" t="s">
        <v>978</v>
      </c>
      <c r="D5061" s="2" t="s">
        <v>979</v>
      </c>
    </row>
    <row r="5062" spans="1:4" ht="12.95" customHeight="1" x14ac:dyDescent="0.25">
      <c r="A5062" s="2" t="s">
        <v>746</v>
      </c>
      <c r="B5062" s="2" t="s">
        <v>1154</v>
      </c>
      <c r="C5062" s="5" t="s">
        <v>980</v>
      </c>
      <c r="D5062" s="2" t="s">
        <v>981</v>
      </c>
    </row>
    <row r="5063" spans="1:4" ht="12.95" customHeight="1" x14ac:dyDescent="0.25">
      <c r="A5063" s="2" t="s">
        <v>746</v>
      </c>
      <c r="B5063" s="2" t="s">
        <v>1154</v>
      </c>
      <c r="C5063" s="5" t="s">
        <v>982</v>
      </c>
      <c r="D5063" s="2" t="s">
        <v>983</v>
      </c>
    </row>
    <row r="5064" spans="1:4" ht="12.95" customHeight="1" x14ac:dyDescent="0.25">
      <c r="A5064" s="2" t="s">
        <v>746</v>
      </c>
      <c r="B5064" s="2" t="s">
        <v>1154</v>
      </c>
      <c r="C5064" s="5" t="s">
        <v>984</v>
      </c>
      <c r="D5064" s="2" t="s">
        <v>853</v>
      </c>
    </row>
    <row r="5065" spans="1:4" ht="12.95" customHeight="1" x14ac:dyDescent="0.25">
      <c r="A5065" s="2" t="s">
        <v>746</v>
      </c>
      <c r="B5065" s="2" t="s">
        <v>1154</v>
      </c>
      <c r="C5065" s="5" t="s">
        <v>986</v>
      </c>
      <c r="D5065" s="2" t="s">
        <v>6076</v>
      </c>
    </row>
    <row r="5066" spans="1:4" ht="12.95" customHeight="1" x14ac:dyDescent="0.25">
      <c r="A5066" s="2" t="s">
        <v>746</v>
      </c>
      <c r="B5066" s="2" t="s">
        <v>1154</v>
      </c>
      <c r="C5066" s="5" t="s">
        <v>988</v>
      </c>
      <c r="D5066" s="2" t="s">
        <v>6096</v>
      </c>
    </row>
    <row r="5067" spans="1:4" ht="12.95" customHeight="1" x14ac:dyDescent="0.25">
      <c r="A5067" s="2" t="s">
        <v>746</v>
      </c>
      <c r="B5067" s="2" t="s">
        <v>1154</v>
      </c>
      <c r="C5067" s="5" t="s">
        <v>990</v>
      </c>
      <c r="D5067" s="2" t="s">
        <v>6057</v>
      </c>
    </row>
    <row r="5068" spans="1:4" ht="12.95" customHeight="1" x14ac:dyDescent="0.25">
      <c r="A5068" s="2" t="s">
        <v>746</v>
      </c>
      <c r="B5068" s="2" t="s">
        <v>1154</v>
      </c>
      <c r="C5068" s="5" t="s">
        <v>992</v>
      </c>
      <c r="D5068" s="2" t="s">
        <v>6077</v>
      </c>
    </row>
    <row r="5069" spans="1:4" ht="12.95" customHeight="1" x14ac:dyDescent="0.25">
      <c r="A5069" s="2" t="s">
        <v>746</v>
      </c>
      <c r="B5069" s="2" t="s">
        <v>1154</v>
      </c>
      <c r="C5069" s="5" t="s">
        <v>994</v>
      </c>
      <c r="D5069" s="2" t="s">
        <v>6078</v>
      </c>
    </row>
    <row r="5070" spans="1:4" ht="12.95" customHeight="1" x14ac:dyDescent="0.25">
      <c r="A5070" s="2" t="s">
        <v>746</v>
      </c>
      <c r="B5070" s="2" t="s">
        <v>1154</v>
      </c>
      <c r="C5070" s="5" t="s">
        <v>1003</v>
      </c>
      <c r="D5070" s="2" t="s">
        <v>6079</v>
      </c>
    </row>
    <row r="5071" spans="1:4" ht="12.95" customHeight="1" x14ac:dyDescent="0.25">
      <c r="A5071" s="2" t="s">
        <v>746</v>
      </c>
      <c r="B5071" s="2" t="s">
        <v>1154</v>
      </c>
      <c r="C5071" s="5" t="s">
        <v>1013</v>
      </c>
      <c r="D5071" s="2" t="s">
        <v>6080</v>
      </c>
    </row>
    <row r="5072" spans="1:4" ht="12.95" customHeight="1" x14ac:dyDescent="0.25">
      <c r="A5072" s="2" t="s">
        <v>746</v>
      </c>
      <c r="B5072" s="2" t="s">
        <v>1154</v>
      </c>
      <c r="C5072" s="5" t="s">
        <v>1015</v>
      </c>
      <c r="D5072" s="2" t="s">
        <v>6081</v>
      </c>
    </row>
    <row r="5073" spans="1:4" ht="12.95" customHeight="1" x14ac:dyDescent="0.25">
      <c r="A5073" s="2" t="s">
        <v>746</v>
      </c>
      <c r="B5073" s="2" t="s">
        <v>1154</v>
      </c>
      <c r="C5073" s="5" t="s">
        <v>1017</v>
      </c>
      <c r="D5073" s="2" t="s">
        <v>6082</v>
      </c>
    </row>
    <row r="5074" spans="1:4" ht="12.95" customHeight="1" x14ac:dyDescent="0.25">
      <c r="A5074" s="2" t="s">
        <v>746</v>
      </c>
      <c r="B5074" s="2" t="s">
        <v>1154</v>
      </c>
      <c r="C5074" s="5" t="s">
        <v>1019</v>
      </c>
      <c r="D5074" s="2" t="s">
        <v>6083</v>
      </c>
    </row>
    <row r="5075" spans="1:4" ht="12.95" customHeight="1" x14ac:dyDescent="0.25">
      <c r="A5075" s="2" t="s">
        <v>746</v>
      </c>
      <c r="B5075" s="2" t="s">
        <v>1154</v>
      </c>
      <c r="C5075" s="5" t="s">
        <v>1021</v>
      </c>
      <c r="D5075" s="2" t="s">
        <v>6064</v>
      </c>
    </row>
    <row r="5076" spans="1:4" ht="12.95" customHeight="1" x14ac:dyDescent="0.25">
      <c r="A5076" s="2" t="s">
        <v>746</v>
      </c>
      <c r="B5076" s="2" t="s">
        <v>1154</v>
      </c>
      <c r="C5076" s="5" t="s">
        <v>1023</v>
      </c>
      <c r="D5076" s="2" t="s">
        <v>6084</v>
      </c>
    </row>
    <row r="5077" spans="1:4" ht="12.95" customHeight="1" x14ac:dyDescent="0.25">
      <c r="A5077" s="2" t="s">
        <v>746</v>
      </c>
      <c r="B5077" s="2" t="s">
        <v>1154</v>
      </c>
      <c r="C5077" s="5" t="s">
        <v>1025</v>
      </c>
      <c r="D5077" s="2" t="s">
        <v>6066</v>
      </c>
    </row>
    <row r="5078" spans="1:4" ht="12.95" customHeight="1" x14ac:dyDescent="0.25">
      <c r="A5078" s="2" t="s">
        <v>746</v>
      </c>
      <c r="B5078" s="2" t="s">
        <v>1154</v>
      </c>
      <c r="C5078" s="5" t="s">
        <v>1027</v>
      </c>
      <c r="D5078" s="2" t="s">
        <v>6067</v>
      </c>
    </row>
    <row r="5079" spans="1:4" ht="12.95" customHeight="1" x14ac:dyDescent="0.25">
      <c r="A5079" s="2" t="s">
        <v>746</v>
      </c>
      <c r="B5079" s="2" t="s">
        <v>1154</v>
      </c>
      <c r="C5079" s="5" t="s">
        <v>1029</v>
      </c>
      <c r="D5079" s="2" t="s">
        <v>6068</v>
      </c>
    </row>
    <row r="5080" spans="1:4" ht="12.95" customHeight="1" x14ac:dyDescent="0.25">
      <c r="A5080" s="2" t="s">
        <v>746</v>
      </c>
      <c r="B5080" s="2" t="s">
        <v>1154</v>
      </c>
      <c r="C5080" s="5" t="s">
        <v>1031</v>
      </c>
      <c r="D5080" s="2" t="s">
        <v>6069</v>
      </c>
    </row>
    <row r="5081" spans="1:4" ht="12.95" customHeight="1" x14ac:dyDescent="0.25">
      <c r="A5081" s="2" t="s">
        <v>746</v>
      </c>
      <c r="B5081" s="2" t="s">
        <v>1154</v>
      </c>
      <c r="C5081" s="5" t="s">
        <v>1033</v>
      </c>
      <c r="D5081" s="2" t="s">
        <v>6070</v>
      </c>
    </row>
    <row r="5082" spans="1:4" ht="12.95" customHeight="1" x14ac:dyDescent="0.25">
      <c r="A5082" s="2" t="s">
        <v>746</v>
      </c>
      <c r="B5082" s="2" t="s">
        <v>1154</v>
      </c>
      <c r="C5082" s="5" t="s">
        <v>1035</v>
      </c>
      <c r="D5082" s="2" t="s">
        <v>3129</v>
      </c>
    </row>
    <row r="5083" spans="1:4" ht="12.95" customHeight="1" x14ac:dyDescent="0.25">
      <c r="A5083" s="2" t="s">
        <v>746</v>
      </c>
      <c r="B5083" s="2" t="s">
        <v>1154</v>
      </c>
      <c r="C5083" s="5" t="s">
        <v>1177</v>
      </c>
      <c r="D5083" s="2" t="s">
        <v>6071</v>
      </c>
    </row>
    <row r="5084" spans="1:4" ht="12.95" customHeight="1" x14ac:dyDescent="0.25">
      <c r="A5084" s="2" t="s">
        <v>746</v>
      </c>
      <c r="B5084" s="2" t="s">
        <v>1154</v>
      </c>
      <c r="C5084" s="5" t="s">
        <v>1005</v>
      </c>
      <c r="D5084" s="2" t="s">
        <v>1006</v>
      </c>
    </row>
    <row r="5085" spans="1:4" ht="12.95" customHeight="1" x14ac:dyDescent="0.25">
      <c r="A5085" s="2" t="s">
        <v>748</v>
      </c>
      <c r="B5085" s="2" t="s">
        <v>1154</v>
      </c>
      <c r="C5085" s="5" t="s">
        <v>996</v>
      </c>
      <c r="D5085" s="2" t="s">
        <v>997</v>
      </c>
    </row>
    <row r="5086" spans="1:4" ht="12.95" customHeight="1" x14ac:dyDescent="0.25">
      <c r="A5086" s="2" t="s">
        <v>748</v>
      </c>
      <c r="B5086" s="2" t="s">
        <v>1154</v>
      </c>
      <c r="C5086" s="5" t="s">
        <v>978</v>
      </c>
      <c r="D5086" s="2" t="s">
        <v>979</v>
      </c>
    </row>
    <row r="5087" spans="1:4" ht="12.95" customHeight="1" x14ac:dyDescent="0.25">
      <c r="A5087" s="2" t="s">
        <v>748</v>
      </c>
      <c r="B5087" s="2" t="s">
        <v>1154</v>
      </c>
      <c r="C5087" s="5" t="s">
        <v>980</v>
      </c>
      <c r="D5087" s="2" t="s">
        <v>981</v>
      </c>
    </row>
    <row r="5088" spans="1:4" ht="12.95" customHeight="1" x14ac:dyDescent="0.25">
      <c r="A5088" s="2" t="s">
        <v>748</v>
      </c>
      <c r="B5088" s="2" t="s">
        <v>1154</v>
      </c>
      <c r="C5088" s="5" t="s">
        <v>982</v>
      </c>
      <c r="D5088" s="2" t="s">
        <v>983</v>
      </c>
    </row>
    <row r="5089" spans="1:4" ht="12.95" customHeight="1" x14ac:dyDescent="0.25">
      <c r="A5089" s="2" t="s">
        <v>748</v>
      </c>
      <c r="B5089" s="2" t="s">
        <v>1154</v>
      </c>
      <c r="C5089" s="5" t="s">
        <v>984</v>
      </c>
      <c r="D5089" s="2" t="s">
        <v>853</v>
      </c>
    </row>
    <row r="5090" spans="1:4" ht="12.95" customHeight="1" x14ac:dyDescent="0.25">
      <c r="A5090" s="2" t="s">
        <v>748</v>
      </c>
      <c r="B5090" s="2" t="s">
        <v>1154</v>
      </c>
      <c r="C5090" s="5" t="s">
        <v>986</v>
      </c>
      <c r="D5090" s="2" t="s">
        <v>6076</v>
      </c>
    </row>
    <row r="5091" spans="1:4" ht="12.95" customHeight="1" x14ac:dyDescent="0.25">
      <c r="A5091" s="2" t="s">
        <v>748</v>
      </c>
      <c r="B5091" s="2" t="s">
        <v>1154</v>
      </c>
      <c r="C5091" s="5" t="s">
        <v>988</v>
      </c>
      <c r="D5091" s="2" t="s">
        <v>6096</v>
      </c>
    </row>
    <row r="5092" spans="1:4" ht="12.95" customHeight="1" x14ac:dyDescent="0.25">
      <c r="A5092" s="2" t="s">
        <v>748</v>
      </c>
      <c r="B5092" s="2" t="s">
        <v>1154</v>
      </c>
      <c r="C5092" s="5" t="s">
        <v>990</v>
      </c>
      <c r="D5092" s="2" t="s">
        <v>6057</v>
      </c>
    </row>
    <row r="5093" spans="1:4" ht="12.95" customHeight="1" x14ac:dyDescent="0.25">
      <c r="A5093" s="2" t="s">
        <v>748</v>
      </c>
      <c r="B5093" s="2" t="s">
        <v>1154</v>
      </c>
      <c r="C5093" s="5" t="s">
        <v>992</v>
      </c>
      <c r="D5093" s="2" t="s">
        <v>6077</v>
      </c>
    </row>
    <row r="5094" spans="1:4" ht="12.95" customHeight="1" x14ac:dyDescent="0.25">
      <c r="A5094" s="2" t="s">
        <v>748</v>
      </c>
      <c r="B5094" s="2" t="s">
        <v>1154</v>
      </c>
      <c r="C5094" s="5" t="s">
        <v>994</v>
      </c>
      <c r="D5094" s="2" t="s">
        <v>6078</v>
      </c>
    </row>
    <row r="5095" spans="1:4" ht="12.95" customHeight="1" x14ac:dyDescent="0.25">
      <c r="A5095" s="2" t="s">
        <v>748</v>
      </c>
      <c r="B5095" s="2" t="s">
        <v>1154</v>
      </c>
      <c r="C5095" s="5" t="s">
        <v>1003</v>
      </c>
      <c r="D5095" s="2" t="s">
        <v>6079</v>
      </c>
    </row>
    <row r="5096" spans="1:4" ht="12.95" customHeight="1" x14ac:dyDescent="0.25">
      <c r="A5096" s="2" t="s">
        <v>748</v>
      </c>
      <c r="B5096" s="2" t="s">
        <v>1154</v>
      </c>
      <c r="C5096" s="5" t="s">
        <v>1013</v>
      </c>
      <c r="D5096" s="2" t="s">
        <v>6080</v>
      </c>
    </row>
    <row r="5097" spans="1:4" ht="12.95" customHeight="1" x14ac:dyDescent="0.25">
      <c r="A5097" s="2" t="s">
        <v>748</v>
      </c>
      <c r="B5097" s="2" t="s">
        <v>1154</v>
      </c>
      <c r="C5097" s="5" t="s">
        <v>1015</v>
      </c>
      <c r="D5097" s="2" t="s">
        <v>6081</v>
      </c>
    </row>
    <row r="5098" spans="1:4" ht="12.95" customHeight="1" x14ac:dyDescent="0.25">
      <c r="A5098" s="2" t="s">
        <v>748</v>
      </c>
      <c r="B5098" s="2" t="s">
        <v>1154</v>
      </c>
      <c r="C5098" s="5" t="s">
        <v>1017</v>
      </c>
      <c r="D5098" s="2" t="s">
        <v>6082</v>
      </c>
    </row>
    <row r="5099" spans="1:4" ht="12.95" customHeight="1" x14ac:dyDescent="0.25">
      <c r="A5099" s="2" t="s">
        <v>748</v>
      </c>
      <c r="B5099" s="2" t="s">
        <v>1154</v>
      </c>
      <c r="C5099" s="5" t="s">
        <v>1019</v>
      </c>
      <c r="D5099" s="2" t="s">
        <v>6083</v>
      </c>
    </row>
    <row r="5100" spans="1:4" ht="12.95" customHeight="1" x14ac:dyDescent="0.25">
      <c r="A5100" s="2" t="s">
        <v>748</v>
      </c>
      <c r="B5100" s="2" t="s">
        <v>1154</v>
      </c>
      <c r="C5100" s="5" t="s">
        <v>1021</v>
      </c>
      <c r="D5100" s="2" t="s">
        <v>6064</v>
      </c>
    </row>
    <row r="5101" spans="1:4" ht="12.95" customHeight="1" x14ac:dyDescent="0.25">
      <c r="A5101" s="2" t="s">
        <v>748</v>
      </c>
      <c r="B5101" s="2" t="s">
        <v>1154</v>
      </c>
      <c r="C5101" s="5" t="s">
        <v>1023</v>
      </c>
      <c r="D5101" s="2" t="s">
        <v>6084</v>
      </c>
    </row>
    <row r="5102" spans="1:4" ht="12.95" customHeight="1" x14ac:dyDescent="0.25">
      <c r="A5102" s="2" t="s">
        <v>748</v>
      </c>
      <c r="B5102" s="2" t="s">
        <v>1154</v>
      </c>
      <c r="C5102" s="5" t="s">
        <v>1025</v>
      </c>
      <c r="D5102" s="2" t="s">
        <v>6066</v>
      </c>
    </row>
    <row r="5103" spans="1:4" ht="12.95" customHeight="1" x14ac:dyDescent="0.25">
      <c r="A5103" s="2" t="s">
        <v>748</v>
      </c>
      <c r="B5103" s="2" t="s">
        <v>1154</v>
      </c>
      <c r="C5103" s="5" t="s">
        <v>1027</v>
      </c>
      <c r="D5103" s="2" t="s">
        <v>6067</v>
      </c>
    </row>
    <row r="5104" spans="1:4" ht="12.95" customHeight="1" x14ac:dyDescent="0.25">
      <c r="A5104" s="2" t="s">
        <v>748</v>
      </c>
      <c r="B5104" s="2" t="s">
        <v>1154</v>
      </c>
      <c r="C5104" s="5" t="s">
        <v>1029</v>
      </c>
      <c r="D5104" s="2" t="s">
        <v>6068</v>
      </c>
    </row>
    <row r="5105" spans="1:4" ht="12.95" customHeight="1" x14ac:dyDescent="0.25">
      <c r="A5105" s="2" t="s">
        <v>748</v>
      </c>
      <c r="B5105" s="2" t="s">
        <v>1154</v>
      </c>
      <c r="C5105" s="5" t="s">
        <v>1031</v>
      </c>
      <c r="D5105" s="2" t="s">
        <v>6069</v>
      </c>
    </row>
    <row r="5106" spans="1:4" ht="12.95" customHeight="1" x14ac:dyDescent="0.25">
      <c r="A5106" s="2" t="s">
        <v>748</v>
      </c>
      <c r="B5106" s="2" t="s">
        <v>1154</v>
      </c>
      <c r="C5106" s="5" t="s">
        <v>1033</v>
      </c>
      <c r="D5106" s="2" t="s">
        <v>6070</v>
      </c>
    </row>
    <row r="5107" spans="1:4" ht="12.95" customHeight="1" x14ac:dyDescent="0.25">
      <c r="A5107" s="2" t="s">
        <v>748</v>
      </c>
      <c r="B5107" s="2" t="s">
        <v>1154</v>
      </c>
      <c r="C5107" s="5" t="s">
        <v>1035</v>
      </c>
      <c r="D5107" s="2" t="s">
        <v>3129</v>
      </c>
    </row>
    <row r="5108" spans="1:4" ht="12.95" customHeight="1" x14ac:dyDescent="0.25">
      <c r="A5108" s="2" t="s">
        <v>748</v>
      </c>
      <c r="B5108" s="2" t="s">
        <v>1154</v>
      </c>
      <c r="C5108" s="5" t="s">
        <v>1177</v>
      </c>
      <c r="D5108" s="2" t="s">
        <v>6071</v>
      </c>
    </row>
    <row r="5109" spans="1:4" ht="12.95" customHeight="1" x14ac:dyDescent="0.25">
      <c r="A5109" s="2" t="s">
        <v>748</v>
      </c>
      <c r="B5109" s="2" t="s">
        <v>1154</v>
      </c>
      <c r="C5109" s="5" t="s">
        <v>1005</v>
      </c>
      <c r="D5109" s="2" t="s">
        <v>1006</v>
      </c>
    </row>
    <row r="5110" spans="1:4" ht="12.95" customHeight="1" x14ac:dyDescent="0.25">
      <c r="A5110" s="2" t="s">
        <v>750</v>
      </c>
      <c r="B5110" s="2" t="s">
        <v>1154</v>
      </c>
      <c r="C5110" s="5" t="s">
        <v>996</v>
      </c>
      <c r="D5110" s="2" t="s">
        <v>997</v>
      </c>
    </row>
    <row r="5111" spans="1:4" ht="12.95" customHeight="1" x14ac:dyDescent="0.25">
      <c r="A5111" s="2" t="s">
        <v>750</v>
      </c>
      <c r="B5111" s="2" t="s">
        <v>1154</v>
      </c>
      <c r="C5111" s="5" t="s">
        <v>978</v>
      </c>
      <c r="D5111" s="2" t="s">
        <v>979</v>
      </c>
    </row>
    <row r="5112" spans="1:4" ht="12.95" customHeight="1" x14ac:dyDescent="0.25">
      <c r="A5112" s="2" t="s">
        <v>750</v>
      </c>
      <c r="B5112" s="2" t="s">
        <v>1154</v>
      </c>
      <c r="C5112" s="5" t="s">
        <v>980</v>
      </c>
      <c r="D5112" s="2" t="s">
        <v>981</v>
      </c>
    </row>
    <row r="5113" spans="1:4" ht="12.95" customHeight="1" x14ac:dyDescent="0.25">
      <c r="A5113" s="2" t="s">
        <v>750</v>
      </c>
      <c r="B5113" s="2" t="s">
        <v>1154</v>
      </c>
      <c r="C5113" s="5" t="s">
        <v>982</v>
      </c>
      <c r="D5113" s="2" t="s">
        <v>983</v>
      </c>
    </row>
    <row r="5114" spans="1:4" ht="12.95" customHeight="1" x14ac:dyDescent="0.25">
      <c r="A5114" s="2" t="s">
        <v>750</v>
      </c>
      <c r="B5114" s="2" t="s">
        <v>1154</v>
      </c>
      <c r="C5114" s="5" t="s">
        <v>984</v>
      </c>
      <c r="D5114" s="2" t="s">
        <v>853</v>
      </c>
    </row>
    <row r="5115" spans="1:4" ht="12.95" customHeight="1" x14ac:dyDescent="0.25">
      <c r="A5115" s="2" t="s">
        <v>750</v>
      </c>
      <c r="B5115" s="2" t="s">
        <v>1154</v>
      </c>
      <c r="C5115" s="5" t="s">
        <v>986</v>
      </c>
      <c r="D5115" s="2" t="s">
        <v>6076</v>
      </c>
    </row>
    <row r="5116" spans="1:4" ht="12.95" customHeight="1" x14ac:dyDescent="0.25">
      <c r="A5116" s="2" t="s">
        <v>750</v>
      </c>
      <c r="B5116" s="2" t="s">
        <v>1154</v>
      </c>
      <c r="C5116" s="5" t="s">
        <v>988</v>
      </c>
      <c r="D5116" s="2" t="s">
        <v>6096</v>
      </c>
    </row>
    <row r="5117" spans="1:4" ht="12.95" customHeight="1" x14ac:dyDescent="0.25">
      <c r="A5117" s="2" t="s">
        <v>750</v>
      </c>
      <c r="B5117" s="2" t="s">
        <v>1154</v>
      </c>
      <c r="C5117" s="5" t="s">
        <v>990</v>
      </c>
      <c r="D5117" s="2" t="s">
        <v>6057</v>
      </c>
    </row>
    <row r="5118" spans="1:4" ht="12.95" customHeight="1" x14ac:dyDescent="0.25">
      <c r="A5118" s="2" t="s">
        <v>750</v>
      </c>
      <c r="B5118" s="2" t="s">
        <v>1154</v>
      </c>
      <c r="C5118" s="5" t="s">
        <v>992</v>
      </c>
      <c r="D5118" s="2" t="s">
        <v>6077</v>
      </c>
    </row>
    <row r="5119" spans="1:4" ht="12.95" customHeight="1" x14ac:dyDescent="0.25">
      <c r="A5119" s="2" t="s">
        <v>750</v>
      </c>
      <c r="B5119" s="2" t="s">
        <v>1154</v>
      </c>
      <c r="C5119" s="5" t="s">
        <v>994</v>
      </c>
      <c r="D5119" s="2" t="s">
        <v>6078</v>
      </c>
    </row>
    <row r="5120" spans="1:4" ht="12.95" customHeight="1" x14ac:dyDescent="0.25">
      <c r="A5120" s="2" t="s">
        <v>750</v>
      </c>
      <c r="B5120" s="2" t="s">
        <v>1154</v>
      </c>
      <c r="C5120" s="5" t="s">
        <v>1003</v>
      </c>
      <c r="D5120" s="2" t="s">
        <v>6079</v>
      </c>
    </row>
    <row r="5121" spans="1:4" ht="12.95" customHeight="1" x14ac:dyDescent="0.25">
      <c r="A5121" s="2" t="s">
        <v>750</v>
      </c>
      <c r="B5121" s="2" t="s">
        <v>1154</v>
      </c>
      <c r="C5121" s="5" t="s">
        <v>1013</v>
      </c>
      <c r="D5121" s="2" t="s">
        <v>6080</v>
      </c>
    </row>
    <row r="5122" spans="1:4" ht="12.95" customHeight="1" x14ac:dyDescent="0.25">
      <c r="A5122" s="2" t="s">
        <v>750</v>
      </c>
      <c r="B5122" s="2" t="s">
        <v>1154</v>
      </c>
      <c r="C5122" s="5" t="s">
        <v>1015</v>
      </c>
      <c r="D5122" s="2" t="s">
        <v>6081</v>
      </c>
    </row>
    <row r="5123" spans="1:4" ht="12.95" customHeight="1" x14ac:dyDescent="0.25">
      <c r="A5123" s="2" t="s">
        <v>750</v>
      </c>
      <c r="B5123" s="2" t="s">
        <v>1154</v>
      </c>
      <c r="C5123" s="5" t="s">
        <v>1017</v>
      </c>
      <c r="D5123" s="2" t="s">
        <v>6082</v>
      </c>
    </row>
    <row r="5124" spans="1:4" ht="12.95" customHeight="1" x14ac:dyDescent="0.25">
      <c r="A5124" s="2" t="s">
        <v>750</v>
      </c>
      <c r="B5124" s="2" t="s">
        <v>1154</v>
      </c>
      <c r="C5124" s="5" t="s">
        <v>1019</v>
      </c>
      <c r="D5124" s="2" t="s">
        <v>6083</v>
      </c>
    </row>
    <row r="5125" spans="1:4" ht="12.95" customHeight="1" x14ac:dyDescent="0.25">
      <c r="A5125" s="2" t="s">
        <v>750</v>
      </c>
      <c r="B5125" s="2" t="s">
        <v>1154</v>
      </c>
      <c r="C5125" s="5" t="s">
        <v>1021</v>
      </c>
      <c r="D5125" s="2" t="s">
        <v>6064</v>
      </c>
    </row>
    <row r="5126" spans="1:4" ht="12.95" customHeight="1" x14ac:dyDescent="0.25">
      <c r="A5126" s="2" t="s">
        <v>750</v>
      </c>
      <c r="B5126" s="2" t="s">
        <v>1154</v>
      </c>
      <c r="C5126" s="5" t="s">
        <v>1023</v>
      </c>
      <c r="D5126" s="2" t="s">
        <v>6084</v>
      </c>
    </row>
    <row r="5127" spans="1:4" ht="12.95" customHeight="1" x14ac:dyDescent="0.25">
      <c r="A5127" s="2" t="s">
        <v>750</v>
      </c>
      <c r="B5127" s="2" t="s">
        <v>1154</v>
      </c>
      <c r="C5127" s="5" t="s">
        <v>1025</v>
      </c>
      <c r="D5127" s="2" t="s">
        <v>6066</v>
      </c>
    </row>
    <row r="5128" spans="1:4" ht="12.95" customHeight="1" x14ac:dyDescent="0.25">
      <c r="A5128" s="2" t="s">
        <v>750</v>
      </c>
      <c r="B5128" s="2" t="s">
        <v>1154</v>
      </c>
      <c r="C5128" s="5" t="s">
        <v>1027</v>
      </c>
      <c r="D5128" s="2" t="s">
        <v>6067</v>
      </c>
    </row>
    <row r="5129" spans="1:4" ht="12.95" customHeight="1" x14ac:dyDescent="0.25">
      <c r="A5129" s="2" t="s">
        <v>750</v>
      </c>
      <c r="B5129" s="2" t="s">
        <v>1154</v>
      </c>
      <c r="C5129" s="5" t="s">
        <v>1029</v>
      </c>
      <c r="D5129" s="2" t="s">
        <v>6068</v>
      </c>
    </row>
    <row r="5130" spans="1:4" ht="12.95" customHeight="1" x14ac:dyDescent="0.25">
      <c r="A5130" s="2" t="s">
        <v>750</v>
      </c>
      <c r="B5130" s="2" t="s">
        <v>1154</v>
      </c>
      <c r="C5130" s="5" t="s">
        <v>1031</v>
      </c>
      <c r="D5130" s="2" t="s">
        <v>6069</v>
      </c>
    </row>
    <row r="5131" spans="1:4" ht="12.95" customHeight="1" x14ac:dyDescent="0.25">
      <c r="A5131" s="2" t="s">
        <v>750</v>
      </c>
      <c r="B5131" s="2" t="s">
        <v>1154</v>
      </c>
      <c r="C5131" s="5" t="s">
        <v>1033</v>
      </c>
      <c r="D5131" s="2" t="s">
        <v>6070</v>
      </c>
    </row>
    <row r="5132" spans="1:4" ht="12.95" customHeight="1" x14ac:dyDescent="0.25">
      <c r="A5132" s="2" t="s">
        <v>750</v>
      </c>
      <c r="B5132" s="2" t="s">
        <v>1154</v>
      </c>
      <c r="C5132" s="5" t="s">
        <v>1035</v>
      </c>
      <c r="D5132" s="2" t="s">
        <v>3129</v>
      </c>
    </row>
    <row r="5133" spans="1:4" ht="12.95" customHeight="1" x14ac:dyDescent="0.25">
      <c r="A5133" s="2" t="s">
        <v>750</v>
      </c>
      <c r="B5133" s="2" t="s">
        <v>1154</v>
      </c>
      <c r="C5133" s="5" t="s">
        <v>1177</v>
      </c>
      <c r="D5133" s="2" t="s">
        <v>6071</v>
      </c>
    </row>
    <row r="5134" spans="1:4" ht="12.95" customHeight="1" x14ac:dyDescent="0.25">
      <c r="A5134" s="2" t="s">
        <v>750</v>
      </c>
      <c r="B5134" s="2" t="s">
        <v>1154</v>
      </c>
      <c r="C5134" s="5" t="s">
        <v>1005</v>
      </c>
      <c r="D5134" s="2" t="s">
        <v>1006</v>
      </c>
    </row>
    <row r="5135" spans="1:4" ht="12.95" customHeight="1" x14ac:dyDescent="0.25">
      <c r="A5135" s="2" t="s">
        <v>752</v>
      </c>
      <c r="B5135" s="2" t="s">
        <v>1154</v>
      </c>
      <c r="C5135" s="5" t="s">
        <v>996</v>
      </c>
      <c r="D5135" s="2" t="s">
        <v>997</v>
      </c>
    </row>
    <row r="5136" spans="1:4" ht="12.95" customHeight="1" x14ac:dyDescent="0.25">
      <c r="A5136" s="2" t="s">
        <v>752</v>
      </c>
      <c r="B5136" s="2" t="s">
        <v>1154</v>
      </c>
      <c r="C5136" s="5" t="s">
        <v>978</v>
      </c>
      <c r="D5136" s="2" t="s">
        <v>979</v>
      </c>
    </row>
    <row r="5137" spans="1:4" ht="12.95" customHeight="1" x14ac:dyDescent="0.25">
      <c r="A5137" s="2" t="s">
        <v>752</v>
      </c>
      <c r="B5137" s="2" t="s">
        <v>1154</v>
      </c>
      <c r="C5137" s="5" t="s">
        <v>980</v>
      </c>
      <c r="D5137" s="2" t="s">
        <v>981</v>
      </c>
    </row>
    <row r="5138" spans="1:4" ht="12.95" customHeight="1" x14ac:dyDescent="0.25">
      <c r="A5138" s="2" t="s">
        <v>752</v>
      </c>
      <c r="B5138" s="2" t="s">
        <v>1154</v>
      </c>
      <c r="C5138" s="5" t="s">
        <v>982</v>
      </c>
      <c r="D5138" s="2" t="s">
        <v>983</v>
      </c>
    </row>
    <row r="5139" spans="1:4" ht="12.95" customHeight="1" x14ac:dyDescent="0.25">
      <c r="A5139" s="2" t="s">
        <v>752</v>
      </c>
      <c r="B5139" s="2" t="s">
        <v>1154</v>
      </c>
      <c r="C5139" s="5" t="s">
        <v>984</v>
      </c>
      <c r="D5139" s="2" t="s">
        <v>853</v>
      </c>
    </row>
    <row r="5140" spans="1:4" ht="12.95" customHeight="1" x14ac:dyDescent="0.25">
      <c r="A5140" s="2" t="s">
        <v>752</v>
      </c>
      <c r="B5140" s="2" t="s">
        <v>1154</v>
      </c>
      <c r="C5140" s="5" t="s">
        <v>986</v>
      </c>
      <c r="D5140" s="2" t="s">
        <v>6076</v>
      </c>
    </row>
    <row r="5141" spans="1:4" ht="12.95" customHeight="1" x14ac:dyDescent="0.25">
      <c r="A5141" s="2" t="s">
        <v>752</v>
      </c>
      <c r="B5141" s="2" t="s">
        <v>1154</v>
      </c>
      <c r="C5141" s="5" t="s">
        <v>988</v>
      </c>
      <c r="D5141" s="2" t="s">
        <v>6096</v>
      </c>
    </row>
    <row r="5142" spans="1:4" ht="12.95" customHeight="1" x14ac:dyDescent="0.25">
      <c r="A5142" s="2" t="s">
        <v>752</v>
      </c>
      <c r="B5142" s="2" t="s">
        <v>1154</v>
      </c>
      <c r="C5142" s="5" t="s">
        <v>990</v>
      </c>
      <c r="D5142" s="2" t="s">
        <v>6057</v>
      </c>
    </row>
    <row r="5143" spans="1:4" ht="12.95" customHeight="1" x14ac:dyDescent="0.25">
      <c r="A5143" s="2" t="s">
        <v>752</v>
      </c>
      <c r="B5143" s="2" t="s">
        <v>1154</v>
      </c>
      <c r="C5143" s="5" t="s">
        <v>992</v>
      </c>
      <c r="D5143" s="2" t="s">
        <v>6077</v>
      </c>
    </row>
    <row r="5144" spans="1:4" ht="12.95" customHeight="1" x14ac:dyDescent="0.25">
      <c r="A5144" s="2" t="s">
        <v>752</v>
      </c>
      <c r="B5144" s="2" t="s">
        <v>1154</v>
      </c>
      <c r="C5144" s="5" t="s">
        <v>994</v>
      </c>
      <c r="D5144" s="2" t="s">
        <v>6078</v>
      </c>
    </row>
    <row r="5145" spans="1:4" ht="12.95" customHeight="1" x14ac:dyDescent="0.25">
      <c r="A5145" s="2" t="s">
        <v>752</v>
      </c>
      <c r="B5145" s="2" t="s">
        <v>1154</v>
      </c>
      <c r="C5145" s="5" t="s">
        <v>1003</v>
      </c>
      <c r="D5145" s="2" t="s">
        <v>6079</v>
      </c>
    </row>
    <row r="5146" spans="1:4" ht="12.95" customHeight="1" x14ac:dyDescent="0.25">
      <c r="A5146" s="2" t="s">
        <v>752</v>
      </c>
      <c r="B5146" s="2" t="s">
        <v>1154</v>
      </c>
      <c r="C5146" s="5" t="s">
        <v>1013</v>
      </c>
      <c r="D5146" s="2" t="s">
        <v>6080</v>
      </c>
    </row>
    <row r="5147" spans="1:4" ht="12.95" customHeight="1" x14ac:dyDescent="0.25">
      <c r="A5147" s="2" t="s">
        <v>752</v>
      </c>
      <c r="B5147" s="2" t="s">
        <v>1154</v>
      </c>
      <c r="C5147" s="5" t="s">
        <v>1015</v>
      </c>
      <c r="D5147" s="2" t="s">
        <v>6081</v>
      </c>
    </row>
    <row r="5148" spans="1:4" ht="12.95" customHeight="1" x14ac:dyDescent="0.25">
      <c r="A5148" s="2" t="s">
        <v>752</v>
      </c>
      <c r="B5148" s="2" t="s">
        <v>1154</v>
      </c>
      <c r="C5148" s="5" t="s">
        <v>1017</v>
      </c>
      <c r="D5148" s="2" t="s">
        <v>6082</v>
      </c>
    </row>
    <row r="5149" spans="1:4" ht="12.95" customHeight="1" x14ac:dyDescent="0.25">
      <c r="A5149" s="2" t="s">
        <v>752</v>
      </c>
      <c r="B5149" s="2" t="s">
        <v>1154</v>
      </c>
      <c r="C5149" s="5" t="s">
        <v>1019</v>
      </c>
      <c r="D5149" s="2" t="s">
        <v>6083</v>
      </c>
    </row>
    <row r="5150" spans="1:4" ht="12.95" customHeight="1" x14ac:dyDescent="0.25">
      <c r="A5150" s="2" t="s">
        <v>752</v>
      </c>
      <c r="B5150" s="2" t="s">
        <v>1154</v>
      </c>
      <c r="C5150" s="5" t="s">
        <v>1021</v>
      </c>
      <c r="D5150" s="2" t="s">
        <v>6064</v>
      </c>
    </row>
    <row r="5151" spans="1:4" ht="12.95" customHeight="1" x14ac:dyDescent="0.25">
      <c r="A5151" s="2" t="s">
        <v>752</v>
      </c>
      <c r="B5151" s="2" t="s">
        <v>1154</v>
      </c>
      <c r="C5151" s="5" t="s">
        <v>1023</v>
      </c>
      <c r="D5151" s="2" t="s">
        <v>6084</v>
      </c>
    </row>
    <row r="5152" spans="1:4" ht="12.95" customHeight="1" x14ac:dyDescent="0.25">
      <c r="A5152" s="2" t="s">
        <v>752</v>
      </c>
      <c r="B5152" s="2" t="s">
        <v>1154</v>
      </c>
      <c r="C5152" s="5" t="s">
        <v>1025</v>
      </c>
      <c r="D5152" s="2" t="s">
        <v>6066</v>
      </c>
    </row>
    <row r="5153" spans="1:4" ht="12.95" customHeight="1" x14ac:dyDescent="0.25">
      <c r="A5153" s="2" t="s">
        <v>752</v>
      </c>
      <c r="B5153" s="2" t="s">
        <v>1154</v>
      </c>
      <c r="C5153" s="5" t="s">
        <v>1027</v>
      </c>
      <c r="D5153" s="2" t="s">
        <v>6067</v>
      </c>
    </row>
    <row r="5154" spans="1:4" ht="12.95" customHeight="1" x14ac:dyDescent="0.25">
      <c r="A5154" s="2" t="s">
        <v>752</v>
      </c>
      <c r="B5154" s="2" t="s">
        <v>1154</v>
      </c>
      <c r="C5154" s="5" t="s">
        <v>1029</v>
      </c>
      <c r="D5154" s="2" t="s">
        <v>6068</v>
      </c>
    </row>
    <row r="5155" spans="1:4" ht="12.95" customHeight="1" x14ac:dyDescent="0.25">
      <c r="A5155" s="2" t="s">
        <v>752</v>
      </c>
      <c r="B5155" s="2" t="s">
        <v>1154</v>
      </c>
      <c r="C5155" s="5" t="s">
        <v>1031</v>
      </c>
      <c r="D5155" s="2" t="s">
        <v>6069</v>
      </c>
    </row>
    <row r="5156" spans="1:4" ht="12.95" customHeight="1" x14ac:dyDescent="0.25">
      <c r="A5156" s="2" t="s">
        <v>752</v>
      </c>
      <c r="B5156" s="2" t="s">
        <v>1154</v>
      </c>
      <c r="C5156" s="5" t="s">
        <v>1033</v>
      </c>
      <c r="D5156" s="2" t="s">
        <v>6070</v>
      </c>
    </row>
    <row r="5157" spans="1:4" ht="12.95" customHeight="1" x14ac:dyDescent="0.25">
      <c r="A5157" s="2" t="s">
        <v>752</v>
      </c>
      <c r="B5157" s="2" t="s">
        <v>1154</v>
      </c>
      <c r="C5157" s="5" t="s">
        <v>1035</v>
      </c>
      <c r="D5157" s="2" t="s">
        <v>3129</v>
      </c>
    </row>
    <row r="5158" spans="1:4" ht="12.95" customHeight="1" x14ac:dyDescent="0.25">
      <c r="A5158" s="2" t="s">
        <v>752</v>
      </c>
      <c r="B5158" s="2" t="s">
        <v>1154</v>
      </c>
      <c r="C5158" s="5" t="s">
        <v>1177</v>
      </c>
      <c r="D5158" s="2" t="s">
        <v>6071</v>
      </c>
    </row>
    <row r="5159" spans="1:4" ht="12.95" customHeight="1" x14ac:dyDescent="0.25">
      <c r="A5159" s="2" t="s">
        <v>752</v>
      </c>
      <c r="B5159" s="2" t="s">
        <v>1154</v>
      </c>
      <c r="C5159" s="5" t="s">
        <v>1005</v>
      </c>
      <c r="D5159" s="2" t="s">
        <v>1006</v>
      </c>
    </row>
    <row r="5160" spans="1:4" ht="12.95" customHeight="1" x14ac:dyDescent="0.25">
      <c r="A5160" s="2" t="s">
        <v>754</v>
      </c>
      <c r="B5160" s="2" t="s">
        <v>1154</v>
      </c>
      <c r="C5160" s="5" t="s">
        <v>996</v>
      </c>
      <c r="D5160" s="2" t="s">
        <v>997</v>
      </c>
    </row>
    <row r="5161" spans="1:4" ht="12.95" customHeight="1" x14ac:dyDescent="0.25">
      <c r="A5161" s="2" t="s">
        <v>754</v>
      </c>
      <c r="B5161" s="2" t="s">
        <v>1154</v>
      </c>
      <c r="C5161" s="5" t="s">
        <v>978</v>
      </c>
      <c r="D5161" s="2" t="s">
        <v>979</v>
      </c>
    </row>
    <row r="5162" spans="1:4" ht="12.95" customHeight="1" x14ac:dyDescent="0.25">
      <c r="A5162" s="2" t="s">
        <v>754</v>
      </c>
      <c r="B5162" s="2" t="s">
        <v>1154</v>
      </c>
      <c r="C5162" s="5" t="s">
        <v>980</v>
      </c>
      <c r="D5162" s="2" t="s">
        <v>981</v>
      </c>
    </row>
    <row r="5163" spans="1:4" ht="12.95" customHeight="1" x14ac:dyDescent="0.25">
      <c r="A5163" s="2" t="s">
        <v>754</v>
      </c>
      <c r="B5163" s="2" t="s">
        <v>1154</v>
      </c>
      <c r="C5163" s="5" t="s">
        <v>982</v>
      </c>
      <c r="D5163" s="2" t="s">
        <v>983</v>
      </c>
    </row>
    <row r="5164" spans="1:4" ht="12.95" customHeight="1" x14ac:dyDescent="0.25">
      <c r="A5164" s="2" t="s">
        <v>754</v>
      </c>
      <c r="B5164" s="2" t="s">
        <v>1154</v>
      </c>
      <c r="C5164" s="5" t="s">
        <v>984</v>
      </c>
      <c r="D5164" s="2" t="s">
        <v>853</v>
      </c>
    </row>
    <row r="5165" spans="1:4" ht="12.95" customHeight="1" x14ac:dyDescent="0.25">
      <c r="A5165" s="2" t="s">
        <v>754</v>
      </c>
      <c r="B5165" s="2" t="s">
        <v>1154</v>
      </c>
      <c r="C5165" s="5" t="s">
        <v>986</v>
      </c>
      <c r="D5165" s="2" t="s">
        <v>6076</v>
      </c>
    </row>
    <row r="5166" spans="1:4" ht="12.95" customHeight="1" x14ac:dyDescent="0.25">
      <c r="A5166" s="2" t="s">
        <v>754</v>
      </c>
      <c r="B5166" s="2" t="s">
        <v>1154</v>
      </c>
      <c r="C5166" s="5" t="s">
        <v>988</v>
      </c>
      <c r="D5166" s="2" t="s">
        <v>6096</v>
      </c>
    </row>
    <row r="5167" spans="1:4" ht="12.95" customHeight="1" x14ac:dyDescent="0.25">
      <c r="A5167" s="2" t="s">
        <v>754</v>
      </c>
      <c r="B5167" s="2" t="s">
        <v>1154</v>
      </c>
      <c r="C5167" s="5" t="s">
        <v>990</v>
      </c>
      <c r="D5167" s="2" t="s">
        <v>6057</v>
      </c>
    </row>
    <row r="5168" spans="1:4" ht="12.95" customHeight="1" x14ac:dyDescent="0.25">
      <c r="A5168" s="2" t="s">
        <v>754</v>
      </c>
      <c r="B5168" s="2" t="s">
        <v>1154</v>
      </c>
      <c r="C5168" s="5" t="s">
        <v>992</v>
      </c>
      <c r="D5168" s="2" t="s">
        <v>6077</v>
      </c>
    </row>
    <row r="5169" spans="1:4" ht="12.95" customHeight="1" x14ac:dyDescent="0.25">
      <c r="A5169" s="2" t="s">
        <v>754</v>
      </c>
      <c r="B5169" s="2" t="s">
        <v>1154</v>
      </c>
      <c r="C5169" s="5" t="s">
        <v>994</v>
      </c>
      <c r="D5169" s="2" t="s">
        <v>6078</v>
      </c>
    </row>
    <row r="5170" spans="1:4" ht="12.95" customHeight="1" x14ac:dyDescent="0.25">
      <c r="A5170" s="2" t="s">
        <v>754</v>
      </c>
      <c r="B5170" s="2" t="s">
        <v>1154</v>
      </c>
      <c r="C5170" s="5" t="s">
        <v>1003</v>
      </c>
      <c r="D5170" s="2" t="s">
        <v>6079</v>
      </c>
    </row>
    <row r="5171" spans="1:4" ht="12.95" customHeight="1" x14ac:dyDescent="0.25">
      <c r="A5171" s="2" t="s">
        <v>754</v>
      </c>
      <c r="B5171" s="2" t="s">
        <v>1154</v>
      </c>
      <c r="C5171" s="5" t="s">
        <v>1013</v>
      </c>
      <c r="D5171" s="2" t="s">
        <v>6080</v>
      </c>
    </row>
    <row r="5172" spans="1:4" ht="12.95" customHeight="1" x14ac:dyDescent="0.25">
      <c r="A5172" s="2" t="s">
        <v>754</v>
      </c>
      <c r="B5172" s="2" t="s">
        <v>1154</v>
      </c>
      <c r="C5172" s="5" t="s">
        <v>1015</v>
      </c>
      <c r="D5172" s="2" t="s">
        <v>6081</v>
      </c>
    </row>
    <row r="5173" spans="1:4" ht="12.95" customHeight="1" x14ac:dyDescent="0.25">
      <c r="A5173" s="2" t="s">
        <v>754</v>
      </c>
      <c r="B5173" s="2" t="s">
        <v>1154</v>
      </c>
      <c r="C5173" s="5" t="s">
        <v>1017</v>
      </c>
      <c r="D5173" s="2" t="s">
        <v>6082</v>
      </c>
    </row>
    <row r="5174" spans="1:4" ht="12.95" customHeight="1" x14ac:dyDescent="0.25">
      <c r="A5174" s="2" t="s">
        <v>754</v>
      </c>
      <c r="B5174" s="2" t="s">
        <v>1154</v>
      </c>
      <c r="C5174" s="5" t="s">
        <v>1019</v>
      </c>
      <c r="D5174" s="2" t="s">
        <v>6083</v>
      </c>
    </row>
    <row r="5175" spans="1:4" ht="12.95" customHeight="1" x14ac:dyDescent="0.25">
      <c r="A5175" s="2" t="s">
        <v>754</v>
      </c>
      <c r="B5175" s="2" t="s">
        <v>1154</v>
      </c>
      <c r="C5175" s="5" t="s">
        <v>1021</v>
      </c>
      <c r="D5175" s="2" t="s">
        <v>6064</v>
      </c>
    </row>
    <row r="5176" spans="1:4" ht="12.95" customHeight="1" x14ac:dyDescent="0.25">
      <c r="A5176" s="2" t="s">
        <v>754</v>
      </c>
      <c r="B5176" s="2" t="s">
        <v>1154</v>
      </c>
      <c r="C5176" s="5" t="s">
        <v>1023</v>
      </c>
      <c r="D5176" s="2" t="s">
        <v>6084</v>
      </c>
    </row>
    <row r="5177" spans="1:4" ht="12.95" customHeight="1" x14ac:dyDescent="0.25">
      <c r="A5177" s="2" t="s">
        <v>754</v>
      </c>
      <c r="B5177" s="2" t="s">
        <v>1154</v>
      </c>
      <c r="C5177" s="5" t="s">
        <v>1025</v>
      </c>
      <c r="D5177" s="2" t="s">
        <v>6066</v>
      </c>
    </row>
    <row r="5178" spans="1:4" ht="12.95" customHeight="1" x14ac:dyDescent="0.25">
      <c r="A5178" s="2" t="s">
        <v>754</v>
      </c>
      <c r="B5178" s="2" t="s">
        <v>1154</v>
      </c>
      <c r="C5178" s="5" t="s">
        <v>1027</v>
      </c>
      <c r="D5178" s="2" t="s">
        <v>6067</v>
      </c>
    </row>
    <row r="5179" spans="1:4" ht="12.95" customHeight="1" x14ac:dyDescent="0.25">
      <c r="A5179" s="2" t="s">
        <v>754</v>
      </c>
      <c r="B5179" s="2" t="s">
        <v>1154</v>
      </c>
      <c r="C5179" s="5" t="s">
        <v>1029</v>
      </c>
      <c r="D5179" s="2" t="s">
        <v>6068</v>
      </c>
    </row>
    <row r="5180" spans="1:4" ht="12.95" customHeight="1" x14ac:dyDescent="0.25">
      <c r="A5180" s="2" t="s">
        <v>754</v>
      </c>
      <c r="B5180" s="2" t="s">
        <v>1154</v>
      </c>
      <c r="C5180" s="5" t="s">
        <v>1031</v>
      </c>
      <c r="D5180" s="2" t="s">
        <v>6069</v>
      </c>
    </row>
    <row r="5181" spans="1:4" ht="12.95" customHeight="1" x14ac:dyDescent="0.25">
      <c r="A5181" s="2" t="s">
        <v>754</v>
      </c>
      <c r="B5181" s="2" t="s">
        <v>1154</v>
      </c>
      <c r="C5181" s="5" t="s">
        <v>1033</v>
      </c>
      <c r="D5181" s="2" t="s">
        <v>6070</v>
      </c>
    </row>
    <row r="5182" spans="1:4" ht="12.95" customHeight="1" x14ac:dyDescent="0.25">
      <c r="A5182" s="2" t="s">
        <v>754</v>
      </c>
      <c r="B5182" s="2" t="s">
        <v>1154</v>
      </c>
      <c r="C5182" s="5" t="s">
        <v>1035</v>
      </c>
      <c r="D5182" s="2" t="s">
        <v>3129</v>
      </c>
    </row>
    <row r="5183" spans="1:4" ht="12.95" customHeight="1" x14ac:dyDescent="0.25">
      <c r="A5183" s="2" t="s">
        <v>754</v>
      </c>
      <c r="B5183" s="2" t="s">
        <v>1154</v>
      </c>
      <c r="C5183" s="5" t="s">
        <v>1177</v>
      </c>
      <c r="D5183" s="2" t="s">
        <v>6071</v>
      </c>
    </row>
    <row r="5184" spans="1:4" ht="12.95" customHeight="1" x14ac:dyDescent="0.25">
      <c r="A5184" s="2" t="s">
        <v>754</v>
      </c>
      <c r="B5184" s="2" t="s">
        <v>1154</v>
      </c>
      <c r="C5184" s="5" t="s">
        <v>1005</v>
      </c>
      <c r="D5184" s="2" t="s">
        <v>1006</v>
      </c>
    </row>
    <row r="5185" spans="1:4" ht="12.95" customHeight="1" x14ac:dyDescent="0.25">
      <c r="A5185" s="2" t="s">
        <v>756</v>
      </c>
      <c r="B5185" s="2" t="s">
        <v>1154</v>
      </c>
      <c r="C5185" s="5" t="s">
        <v>996</v>
      </c>
      <c r="D5185" s="2" t="s">
        <v>997</v>
      </c>
    </row>
    <row r="5186" spans="1:4" ht="12.95" customHeight="1" x14ac:dyDescent="0.25">
      <c r="A5186" s="2" t="s">
        <v>756</v>
      </c>
      <c r="B5186" s="2" t="s">
        <v>1154</v>
      </c>
      <c r="C5186" s="5" t="s">
        <v>978</v>
      </c>
      <c r="D5186" s="2" t="s">
        <v>979</v>
      </c>
    </row>
    <row r="5187" spans="1:4" ht="12.95" customHeight="1" x14ac:dyDescent="0.25">
      <c r="A5187" s="2" t="s">
        <v>756</v>
      </c>
      <c r="B5187" s="2" t="s">
        <v>1154</v>
      </c>
      <c r="C5187" s="5" t="s">
        <v>980</v>
      </c>
      <c r="D5187" s="2" t="s">
        <v>981</v>
      </c>
    </row>
    <row r="5188" spans="1:4" ht="12.95" customHeight="1" x14ac:dyDescent="0.25">
      <c r="A5188" s="2" t="s">
        <v>756</v>
      </c>
      <c r="B5188" s="2" t="s">
        <v>1154</v>
      </c>
      <c r="C5188" s="5" t="s">
        <v>982</v>
      </c>
      <c r="D5188" s="2" t="s">
        <v>983</v>
      </c>
    </row>
    <row r="5189" spans="1:4" ht="12.95" customHeight="1" x14ac:dyDescent="0.25">
      <c r="A5189" s="2" t="s">
        <v>756</v>
      </c>
      <c r="B5189" s="2" t="s">
        <v>1154</v>
      </c>
      <c r="C5189" s="5" t="s">
        <v>984</v>
      </c>
      <c r="D5189" s="2" t="s">
        <v>853</v>
      </c>
    </row>
    <row r="5190" spans="1:4" ht="12.95" customHeight="1" x14ac:dyDescent="0.25">
      <c r="A5190" s="2" t="s">
        <v>756</v>
      </c>
      <c r="B5190" s="2" t="s">
        <v>1154</v>
      </c>
      <c r="C5190" s="5" t="s">
        <v>986</v>
      </c>
      <c r="D5190" s="2" t="s">
        <v>6076</v>
      </c>
    </row>
    <row r="5191" spans="1:4" ht="12.95" customHeight="1" x14ac:dyDescent="0.25">
      <c r="A5191" s="2" t="s">
        <v>756</v>
      </c>
      <c r="B5191" s="2" t="s">
        <v>1154</v>
      </c>
      <c r="C5191" s="5" t="s">
        <v>988</v>
      </c>
      <c r="D5191" s="2" t="s">
        <v>6096</v>
      </c>
    </row>
    <row r="5192" spans="1:4" ht="12.95" customHeight="1" x14ac:dyDescent="0.25">
      <c r="A5192" s="2" t="s">
        <v>756</v>
      </c>
      <c r="B5192" s="2" t="s">
        <v>1154</v>
      </c>
      <c r="C5192" s="5" t="s">
        <v>990</v>
      </c>
      <c r="D5192" s="2" t="s">
        <v>6057</v>
      </c>
    </row>
    <row r="5193" spans="1:4" ht="12.95" customHeight="1" x14ac:dyDescent="0.25">
      <c r="A5193" s="2" t="s">
        <v>756</v>
      </c>
      <c r="B5193" s="2" t="s">
        <v>1154</v>
      </c>
      <c r="C5193" s="5" t="s">
        <v>992</v>
      </c>
      <c r="D5193" s="2" t="s">
        <v>6077</v>
      </c>
    </row>
    <row r="5194" spans="1:4" ht="12.95" customHeight="1" x14ac:dyDescent="0.25">
      <c r="A5194" s="2" t="s">
        <v>756</v>
      </c>
      <c r="B5194" s="2" t="s">
        <v>1154</v>
      </c>
      <c r="C5194" s="5" t="s">
        <v>994</v>
      </c>
      <c r="D5194" s="2" t="s">
        <v>6078</v>
      </c>
    </row>
    <row r="5195" spans="1:4" ht="12.95" customHeight="1" x14ac:dyDescent="0.25">
      <c r="A5195" s="2" t="s">
        <v>756</v>
      </c>
      <c r="B5195" s="2" t="s">
        <v>1154</v>
      </c>
      <c r="C5195" s="5" t="s">
        <v>1003</v>
      </c>
      <c r="D5195" s="2" t="s">
        <v>6079</v>
      </c>
    </row>
    <row r="5196" spans="1:4" ht="12.95" customHeight="1" x14ac:dyDescent="0.25">
      <c r="A5196" s="2" t="s">
        <v>756</v>
      </c>
      <c r="B5196" s="2" t="s">
        <v>1154</v>
      </c>
      <c r="C5196" s="5" t="s">
        <v>1013</v>
      </c>
      <c r="D5196" s="2" t="s">
        <v>6080</v>
      </c>
    </row>
    <row r="5197" spans="1:4" ht="12.95" customHeight="1" x14ac:dyDescent="0.25">
      <c r="A5197" s="2" t="s">
        <v>756</v>
      </c>
      <c r="B5197" s="2" t="s">
        <v>1154</v>
      </c>
      <c r="C5197" s="5" t="s">
        <v>1015</v>
      </c>
      <c r="D5197" s="2" t="s">
        <v>6081</v>
      </c>
    </row>
    <row r="5198" spans="1:4" ht="12.95" customHeight="1" x14ac:dyDescent="0.25">
      <c r="A5198" s="2" t="s">
        <v>756</v>
      </c>
      <c r="B5198" s="2" t="s">
        <v>1154</v>
      </c>
      <c r="C5198" s="5" t="s">
        <v>1017</v>
      </c>
      <c r="D5198" s="2" t="s">
        <v>6082</v>
      </c>
    </row>
    <row r="5199" spans="1:4" ht="12.95" customHeight="1" x14ac:dyDescent="0.25">
      <c r="A5199" s="2" t="s">
        <v>756</v>
      </c>
      <c r="B5199" s="2" t="s">
        <v>1154</v>
      </c>
      <c r="C5199" s="5" t="s">
        <v>1019</v>
      </c>
      <c r="D5199" s="2" t="s">
        <v>6083</v>
      </c>
    </row>
    <row r="5200" spans="1:4" ht="12.95" customHeight="1" x14ac:dyDescent="0.25">
      <c r="A5200" s="2" t="s">
        <v>756</v>
      </c>
      <c r="B5200" s="2" t="s">
        <v>1154</v>
      </c>
      <c r="C5200" s="5" t="s">
        <v>1021</v>
      </c>
      <c r="D5200" s="2" t="s">
        <v>6064</v>
      </c>
    </row>
    <row r="5201" spans="1:4" ht="12.95" customHeight="1" x14ac:dyDescent="0.25">
      <c r="A5201" s="2" t="s">
        <v>756</v>
      </c>
      <c r="B5201" s="2" t="s">
        <v>1154</v>
      </c>
      <c r="C5201" s="5" t="s">
        <v>1023</v>
      </c>
      <c r="D5201" s="2" t="s">
        <v>6084</v>
      </c>
    </row>
    <row r="5202" spans="1:4" ht="12.95" customHeight="1" x14ac:dyDescent="0.25">
      <c r="A5202" s="2" t="s">
        <v>756</v>
      </c>
      <c r="B5202" s="2" t="s">
        <v>1154</v>
      </c>
      <c r="C5202" s="5" t="s">
        <v>1025</v>
      </c>
      <c r="D5202" s="2" t="s">
        <v>6066</v>
      </c>
    </row>
    <row r="5203" spans="1:4" ht="12.95" customHeight="1" x14ac:dyDescent="0.25">
      <c r="A5203" s="2" t="s">
        <v>756</v>
      </c>
      <c r="B5203" s="2" t="s">
        <v>1154</v>
      </c>
      <c r="C5203" s="5" t="s">
        <v>1027</v>
      </c>
      <c r="D5203" s="2" t="s">
        <v>6067</v>
      </c>
    </row>
    <row r="5204" spans="1:4" ht="12.95" customHeight="1" x14ac:dyDescent="0.25">
      <c r="A5204" s="2" t="s">
        <v>756</v>
      </c>
      <c r="B5204" s="2" t="s">
        <v>1154</v>
      </c>
      <c r="C5204" s="5" t="s">
        <v>1029</v>
      </c>
      <c r="D5204" s="2" t="s">
        <v>6068</v>
      </c>
    </row>
    <row r="5205" spans="1:4" ht="12.95" customHeight="1" x14ac:dyDescent="0.25">
      <c r="A5205" s="2" t="s">
        <v>756</v>
      </c>
      <c r="B5205" s="2" t="s">
        <v>1154</v>
      </c>
      <c r="C5205" s="5" t="s">
        <v>1031</v>
      </c>
      <c r="D5205" s="2" t="s">
        <v>6069</v>
      </c>
    </row>
    <row r="5206" spans="1:4" ht="12.95" customHeight="1" x14ac:dyDescent="0.25">
      <c r="A5206" s="2" t="s">
        <v>756</v>
      </c>
      <c r="B5206" s="2" t="s">
        <v>1154</v>
      </c>
      <c r="C5206" s="5" t="s">
        <v>1033</v>
      </c>
      <c r="D5206" s="2" t="s">
        <v>6070</v>
      </c>
    </row>
    <row r="5207" spans="1:4" ht="12.95" customHeight="1" x14ac:dyDescent="0.25">
      <c r="A5207" s="2" t="s">
        <v>756</v>
      </c>
      <c r="B5207" s="2" t="s">
        <v>1154</v>
      </c>
      <c r="C5207" s="5" t="s">
        <v>1035</v>
      </c>
      <c r="D5207" s="2" t="s">
        <v>3129</v>
      </c>
    </row>
    <row r="5208" spans="1:4" ht="12.95" customHeight="1" x14ac:dyDescent="0.25">
      <c r="A5208" s="2" t="s">
        <v>756</v>
      </c>
      <c r="B5208" s="2" t="s">
        <v>1154</v>
      </c>
      <c r="C5208" s="5" t="s">
        <v>1177</v>
      </c>
      <c r="D5208" s="2" t="s">
        <v>6071</v>
      </c>
    </row>
    <row r="5209" spans="1:4" ht="12.95" customHeight="1" x14ac:dyDescent="0.25">
      <c r="A5209" s="2" t="s">
        <v>756</v>
      </c>
      <c r="B5209" s="2" t="s">
        <v>1154</v>
      </c>
      <c r="C5209" s="5" t="s">
        <v>1005</v>
      </c>
      <c r="D5209" s="2" t="s">
        <v>1006</v>
      </c>
    </row>
    <row r="5210" spans="1:4" ht="12.95" customHeight="1" x14ac:dyDescent="0.25">
      <c r="A5210" s="2" t="s">
        <v>758</v>
      </c>
      <c r="B5210" s="2" t="s">
        <v>1154</v>
      </c>
      <c r="C5210" s="5" t="s">
        <v>996</v>
      </c>
      <c r="D5210" s="2" t="s">
        <v>997</v>
      </c>
    </row>
    <row r="5211" spans="1:4" ht="12.95" customHeight="1" x14ac:dyDescent="0.25">
      <c r="A5211" s="2" t="s">
        <v>758</v>
      </c>
      <c r="B5211" s="2" t="s">
        <v>1154</v>
      </c>
      <c r="C5211" s="5" t="s">
        <v>978</v>
      </c>
      <c r="D5211" s="2" t="s">
        <v>979</v>
      </c>
    </row>
    <row r="5212" spans="1:4" ht="12.95" customHeight="1" x14ac:dyDescent="0.25">
      <c r="A5212" s="2" t="s">
        <v>758</v>
      </c>
      <c r="B5212" s="2" t="s">
        <v>1154</v>
      </c>
      <c r="C5212" s="5" t="s">
        <v>980</v>
      </c>
      <c r="D5212" s="2" t="s">
        <v>981</v>
      </c>
    </row>
    <row r="5213" spans="1:4" ht="12.95" customHeight="1" x14ac:dyDescent="0.25">
      <c r="A5213" s="2" t="s">
        <v>758</v>
      </c>
      <c r="B5213" s="2" t="s">
        <v>1154</v>
      </c>
      <c r="C5213" s="5" t="s">
        <v>982</v>
      </c>
      <c r="D5213" s="2" t="s">
        <v>983</v>
      </c>
    </row>
    <row r="5214" spans="1:4" ht="12.95" customHeight="1" x14ac:dyDescent="0.25">
      <c r="A5214" s="2" t="s">
        <v>758</v>
      </c>
      <c r="B5214" s="2" t="s">
        <v>1154</v>
      </c>
      <c r="C5214" s="5" t="s">
        <v>984</v>
      </c>
      <c r="D5214" s="2" t="s">
        <v>853</v>
      </c>
    </row>
    <row r="5215" spans="1:4" ht="12.95" customHeight="1" x14ac:dyDescent="0.25">
      <c r="A5215" s="2" t="s">
        <v>758</v>
      </c>
      <c r="B5215" s="2" t="s">
        <v>1154</v>
      </c>
      <c r="C5215" s="5" t="s">
        <v>986</v>
      </c>
      <c r="D5215" s="2" t="s">
        <v>6076</v>
      </c>
    </row>
    <row r="5216" spans="1:4" ht="12.95" customHeight="1" x14ac:dyDescent="0.25">
      <c r="A5216" s="2" t="s">
        <v>758</v>
      </c>
      <c r="B5216" s="2" t="s">
        <v>1154</v>
      </c>
      <c r="C5216" s="5" t="s">
        <v>988</v>
      </c>
      <c r="D5216" s="2" t="s">
        <v>6096</v>
      </c>
    </row>
    <row r="5217" spans="1:4" ht="12.95" customHeight="1" x14ac:dyDescent="0.25">
      <c r="A5217" s="2" t="s">
        <v>758</v>
      </c>
      <c r="B5217" s="2" t="s">
        <v>1154</v>
      </c>
      <c r="C5217" s="5" t="s">
        <v>990</v>
      </c>
      <c r="D5217" s="2" t="s">
        <v>6057</v>
      </c>
    </row>
    <row r="5218" spans="1:4" ht="12.95" customHeight="1" x14ac:dyDescent="0.25">
      <c r="A5218" s="2" t="s">
        <v>758</v>
      </c>
      <c r="B5218" s="2" t="s">
        <v>1154</v>
      </c>
      <c r="C5218" s="5" t="s">
        <v>992</v>
      </c>
      <c r="D5218" s="2" t="s">
        <v>6077</v>
      </c>
    </row>
    <row r="5219" spans="1:4" ht="12.95" customHeight="1" x14ac:dyDescent="0.25">
      <c r="A5219" s="2" t="s">
        <v>758</v>
      </c>
      <c r="B5219" s="2" t="s">
        <v>1154</v>
      </c>
      <c r="C5219" s="5" t="s">
        <v>994</v>
      </c>
      <c r="D5219" s="2" t="s">
        <v>6078</v>
      </c>
    </row>
    <row r="5220" spans="1:4" ht="12.95" customHeight="1" x14ac:dyDescent="0.25">
      <c r="A5220" s="2" t="s">
        <v>758</v>
      </c>
      <c r="B5220" s="2" t="s">
        <v>1154</v>
      </c>
      <c r="C5220" s="5" t="s">
        <v>1003</v>
      </c>
      <c r="D5220" s="2" t="s">
        <v>6079</v>
      </c>
    </row>
    <row r="5221" spans="1:4" ht="12.95" customHeight="1" x14ac:dyDescent="0.25">
      <c r="A5221" s="2" t="s">
        <v>758</v>
      </c>
      <c r="B5221" s="2" t="s">
        <v>1154</v>
      </c>
      <c r="C5221" s="5" t="s">
        <v>1013</v>
      </c>
      <c r="D5221" s="2" t="s">
        <v>6080</v>
      </c>
    </row>
    <row r="5222" spans="1:4" ht="12.95" customHeight="1" x14ac:dyDescent="0.25">
      <c r="A5222" s="2" t="s">
        <v>758</v>
      </c>
      <c r="B5222" s="2" t="s">
        <v>1154</v>
      </c>
      <c r="C5222" s="5" t="s">
        <v>1015</v>
      </c>
      <c r="D5222" s="2" t="s">
        <v>6081</v>
      </c>
    </row>
    <row r="5223" spans="1:4" ht="12.95" customHeight="1" x14ac:dyDescent="0.25">
      <c r="A5223" s="2" t="s">
        <v>758</v>
      </c>
      <c r="B5223" s="2" t="s">
        <v>1154</v>
      </c>
      <c r="C5223" s="5" t="s">
        <v>1017</v>
      </c>
      <c r="D5223" s="2" t="s">
        <v>6082</v>
      </c>
    </row>
    <row r="5224" spans="1:4" ht="12.95" customHeight="1" x14ac:dyDescent="0.25">
      <c r="A5224" s="2" t="s">
        <v>758</v>
      </c>
      <c r="B5224" s="2" t="s">
        <v>1154</v>
      </c>
      <c r="C5224" s="5" t="s">
        <v>1019</v>
      </c>
      <c r="D5224" s="2" t="s">
        <v>6083</v>
      </c>
    </row>
    <row r="5225" spans="1:4" ht="12.95" customHeight="1" x14ac:dyDescent="0.25">
      <c r="A5225" s="2" t="s">
        <v>758</v>
      </c>
      <c r="B5225" s="2" t="s">
        <v>1154</v>
      </c>
      <c r="C5225" s="5" t="s">
        <v>1021</v>
      </c>
      <c r="D5225" s="2" t="s">
        <v>6064</v>
      </c>
    </row>
    <row r="5226" spans="1:4" ht="12.95" customHeight="1" x14ac:dyDescent="0.25">
      <c r="A5226" s="2" t="s">
        <v>758</v>
      </c>
      <c r="B5226" s="2" t="s">
        <v>1154</v>
      </c>
      <c r="C5226" s="5" t="s">
        <v>1023</v>
      </c>
      <c r="D5226" s="2" t="s">
        <v>6084</v>
      </c>
    </row>
    <row r="5227" spans="1:4" ht="12.95" customHeight="1" x14ac:dyDescent="0.25">
      <c r="A5227" s="2" t="s">
        <v>758</v>
      </c>
      <c r="B5227" s="2" t="s">
        <v>1154</v>
      </c>
      <c r="C5227" s="5" t="s">
        <v>1025</v>
      </c>
      <c r="D5227" s="2" t="s">
        <v>6066</v>
      </c>
    </row>
    <row r="5228" spans="1:4" ht="12.95" customHeight="1" x14ac:dyDescent="0.25">
      <c r="A5228" s="2" t="s">
        <v>758</v>
      </c>
      <c r="B5228" s="2" t="s">
        <v>1154</v>
      </c>
      <c r="C5228" s="5" t="s">
        <v>1027</v>
      </c>
      <c r="D5228" s="2" t="s">
        <v>6067</v>
      </c>
    </row>
    <row r="5229" spans="1:4" ht="12.95" customHeight="1" x14ac:dyDescent="0.25">
      <c r="A5229" s="2" t="s">
        <v>758</v>
      </c>
      <c r="B5229" s="2" t="s">
        <v>1154</v>
      </c>
      <c r="C5229" s="5" t="s">
        <v>1029</v>
      </c>
      <c r="D5229" s="2" t="s">
        <v>6068</v>
      </c>
    </row>
    <row r="5230" spans="1:4" ht="12.95" customHeight="1" x14ac:dyDescent="0.25">
      <c r="A5230" s="2" t="s">
        <v>758</v>
      </c>
      <c r="B5230" s="2" t="s">
        <v>1154</v>
      </c>
      <c r="C5230" s="5" t="s">
        <v>1031</v>
      </c>
      <c r="D5230" s="2" t="s">
        <v>6069</v>
      </c>
    </row>
    <row r="5231" spans="1:4" ht="12.95" customHeight="1" x14ac:dyDescent="0.25">
      <c r="A5231" s="2" t="s">
        <v>758</v>
      </c>
      <c r="B5231" s="2" t="s">
        <v>1154</v>
      </c>
      <c r="C5231" s="5" t="s">
        <v>1033</v>
      </c>
      <c r="D5231" s="2" t="s">
        <v>6070</v>
      </c>
    </row>
    <row r="5232" spans="1:4" ht="12.95" customHeight="1" x14ac:dyDescent="0.25">
      <c r="A5232" s="2" t="s">
        <v>758</v>
      </c>
      <c r="B5232" s="2" t="s">
        <v>1154</v>
      </c>
      <c r="C5232" s="5" t="s">
        <v>1035</v>
      </c>
      <c r="D5232" s="2" t="s">
        <v>3129</v>
      </c>
    </row>
    <row r="5233" spans="1:4" ht="12.95" customHeight="1" x14ac:dyDescent="0.25">
      <c r="A5233" s="2" t="s">
        <v>758</v>
      </c>
      <c r="B5233" s="2" t="s">
        <v>1154</v>
      </c>
      <c r="C5233" s="5" t="s">
        <v>1177</v>
      </c>
      <c r="D5233" s="2" t="s">
        <v>6071</v>
      </c>
    </row>
    <row r="5234" spans="1:4" ht="12.95" customHeight="1" x14ac:dyDescent="0.25">
      <c r="A5234" s="2" t="s">
        <v>758</v>
      </c>
      <c r="B5234" s="2" t="s">
        <v>1154</v>
      </c>
      <c r="C5234" s="5" t="s">
        <v>1005</v>
      </c>
      <c r="D5234" s="2" t="s">
        <v>1006</v>
      </c>
    </row>
    <row r="5235" spans="1:4" ht="12.95" customHeight="1" x14ac:dyDescent="0.25">
      <c r="A5235" s="2" t="s">
        <v>760</v>
      </c>
      <c r="B5235" s="2" t="s">
        <v>1154</v>
      </c>
      <c r="C5235" s="5" t="s">
        <v>996</v>
      </c>
      <c r="D5235" s="2" t="s">
        <v>997</v>
      </c>
    </row>
    <row r="5236" spans="1:4" ht="12.95" customHeight="1" x14ac:dyDescent="0.25">
      <c r="A5236" s="2" t="s">
        <v>760</v>
      </c>
      <c r="B5236" s="2" t="s">
        <v>1154</v>
      </c>
      <c r="C5236" s="5" t="s">
        <v>978</v>
      </c>
      <c r="D5236" s="2" t="s">
        <v>979</v>
      </c>
    </row>
    <row r="5237" spans="1:4" ht="12.95" customHeight="1" x14ac:dyDescent="0.25">
      <c r="A5237" s="2" t="s">
        <v>760</v>
      </c>
      <c r="B5237" s="2" t="s">
        <v>1154</v>
      </c>
      <c r="C5237" s="5" t="s">
        <v>980</v>
      </c>
      <c r="D5237" s="2" t="s">
        <v>981</v>
      </c>
    </row>
    <row r="5238" spans="1:4" ht="12.95" customHeight="1" x14ac:dyDescent="0.25">
      <c r="A5238" s="2" t="s">
        <v>760</v>
      </c>
      <c r="B5238" s="2" t="s">
        <v>1154</v>
      </c>
      <c r="C5238" s="5" t="s">
        <v>982</v>
      </c>
      <c r="D5238" s="2" t="s">
        <v>983</v>
      </c>
    </row>
    <row r="5239" spans="1:4" ht="12.95" customHeight="1" x14ac:dyDescent="0.25">
      <c r="A5239" s="2" t="s">
        <v>760</v>
      </c>
      <c r="B5239" s="2" t="s">
        <v>1154</v>
      </c>
      <c r="C5239" s="5" t="s">
        <v>984</v>
      </c>
      <c r="D5239" s="2" t="s">
        <v>853</v>
      </c>
    </row>
    <row r="5240" spans="1:4" ht="12.95" customHeight="1" x14ac:dyDescent="0.25">
      <c r="A5240" s="2" t="s">
        <v>760</v>
      </c>
      <c r="B5240" s="2" t="s">
        <v>1154</v>
      </c>
      <c r="C5240" s="5" t="s">
        <v>986</v>
      </c>
      <c r="D5240" s="2" t="s">
        <v>6076</v>
      </c>
    </row>
    <row r="5241" spans="1:4" ht="12.95" customHeight="1" x14ac:dyDescent="0.25">
      <c r="A5241" s="2" t="s">
        <v>760</v>
      </c>
      <c r="B5241" s="2" t="s">
        <v>1154</v>
      </c>
      <c r="C5241" s="5" t="s">
        <v>988</v>
      </c>
      <c r="D5241" s="2" t="s">
        <v>6096</v>
      </c>
    </row>
    <row r="5242" spans="1:4" ht="12.95" customHeight="1" x14ac:dyDescent="0.25">
      <c r="A5242" s="2" t="s">
        <v>760</v>
      </c>
      <c r="B5242" s="2" t="s">
        <v>1154</v>
      </c>
      <c r="C5242" s="5" t="s">
        <v>990</v>
      </c>
      <c r="D5242" s="2" t="s">
        <v>6057</v>
      </c>
    </row>
    <row r="5243" spans="1:4" ht="12.95" customHeight="1" x14ac:dyDescent="0.25">
      <c r="A5243" s="2" t="s">
        <v>760</v>
      </c>
      <c r="B5243" s="2" t="s">
        <v>1154</v>
      </c>
      <c r="C5243" s="5" t="s">
        <v>992</v>
      </c>
      <c r="D5243" s="2" t="s">
        <v>6077</v>
      </c>
    </row>
    <row r="5244" spans="1:4" ht="12.95" customHeight="1" x14ac:dyDescent="0.25">
      <c r="A5244" s="2" t="s">
        <v>760</v>
      </c>
      <c r="B5244" s="2" t="s">
        <v>1154</v>
      </c>
      <c r="C5244" s="5" t="s">
        <v>994</v>
      </c>
      <c r="D5244" s="2" t="s">
        <v>6078</v>
      </c>
    </row>
    <row r="5245" spans="1:4" ht="12.95" customHeight="1" x14ac:dyDescent="0.25">
      <c r="A5245" s="2" t="s">
        <v>760</v>
      </c>
      <c r="B5245" s="2" t="s">
        <v>1154</v>
      </c>
      <c r="C5245" s="5" t="s">
        <v>1003</v>
      </c>
      <c r="D5245" s="2" t="s">
        <v>6079</v>
      </c>
    </row>
    <row r="5246" spans="1:4" ht="12.95" customHeight="1" x14ac:dyDescent="0.25">
      <c r="A5246" s="2" t="s">
        <v>760</v>
      </c>
      <c r="B5246" s="2" t="s">
        <v>1154</v>
      </c>
      <c r="C5246" s="5" t="s">
        <v>1013</v>
      </c>
      <c r="D5246" s="2" t="s">
        <v>6080</v>
      </c>
    </row>
    <row r="5247" spans="1:4" ht="12.95" customHeight="1" x14ac:dyDescent="0.25">
      <c r="A5247" s="2" t="s">
        <v>760</v>
      </c>
      <c r="B5247" s="2" t="s">
        <v>1154</v>
      </c>
      <c r="C5247" s="5" t="s">
        <v>1015</v>
      </c>
      <c r="D5247" s="2" t="s">
        <v>6081</v>
      </c>
    </row>
    <row r="5248" spans="1:4" ht="12.95" customHeight="1" x14ac:dyDescent="0.25">
      <c r="A5248" s="2" t="s">
        <v>760</v>
      </c>
      <c r="B5248" s="2" t="s">
        <v>1154</v>
      </c>
      <c r="C5248" s="5" t="s">
        <v>1017</v>
      </c>
      <c r="D5248" s="2" t="s">
        <v>6082</v>
      </c>
    </row>
    <row r="5249" spans="1:4" ht="12.95" customHeight="1" x14ac:dyDescent="0.25">
      <c r="A5249" s="2" t="s">
        <v>760</v>
      </c>
      <c r="B5249" s="2" t="s">
        <v>1154</v>
      </c>
      <c r="C5249" s="5" t="s">
        <v>1019</v>
      </c>
      <c r="D5249" s="2" t="s">
        <v>6083</v>
      </c>
    </row>
    <row r="5250" spans="1:4" ht="12.95" customHeight="1" x14ac:dyDescent="0.25">
      <c r="A5250" s="2" t="s">
        <v>760</v>
      </c>
      <c r="B5250" s="2" t="s">
        <v>1154</v>
      </c>
      <c r="C5250" s="5" t="s">
        <v>1021</v>
      </c>
      <c r="D5250" s="2" t="s">
        <v>6064</v>
      </c>
    </row>
    <row r="5251" spans="1:4" ht="12.95" customHeight="1" x14ac:dyDescent="0.25">
      <c r="A5251" s="2" t="s">
        <v>760</v>
      </c>
      <c r="B5251" s="2" t="s">
        <v>1154</v>
      </c>
      <c r="C5251" s="5" t="s">
        <v>1023</v>
      </c>
      <c r="D5251" s="2" t="s">
        <v>6084</v>
      </c>
    </row>
    <row r="5252" spans="1:4" ht="12.95" customHeight="1" x14ac:dyDescent="0.25">
      <c r="A5252" s="2" t="s">
        <v>760</v>
      </c>
      <c r="B5252" s="2" t="s">
        <v>1154</v>
      </c>
      <c r="C5252" s="5" t="s">
        <v>1025</v>
      </c>
      <c r="D5252" s="2" t="s">
        <v>6066</v>
      </c>
    </row>
    <row r="5253" spans="1:4" ht="12.95" customHeight="1" x14ac:dyDescent="0.25">
      <c r="A5253" s="2" t="s">
        <v>760</v>
      </c>
      <c r="B5253" s="2" t="s">
        <v>1154</v>
      </c>
      <c r="C5253" s="5" t="s">
        <v>1027</v>
      </c>
      <c r="D5253" s="2" t="s">
        <v>6067</v>
      </c>
    </row>
    <row r="5254" spans="1:4" ht="12.95" customHeight="1" x14ac:dyDescent="0.25">
      <c r="A5254" s="2" t="s">
        <v>760</v>
      </c>
      <c r="B5254" s="2" t="s">
        <v>1154</v>
      </c>
      <c r="C5254" s="5" t="s">
        <v>1029</v>
      </c>
      <c r="D5254" s="2" t="s">
        <v>6068</v>
      </c>
    </row>
    <row r="5255" spans="1:4" ht="12.95" customHeight="1" x14ac:dyDescent="0.25">
      <c r="A5255" s="2" t="s">
        <v>760</v>
      </c>
      <c r="B5255" s="2" t="s">
        <v>1154</v>
      </c>
      <c r="C5255" s="5" t="s">
        <v>1031</v>
      </c>
      <c r="D5255" s="2" t="s">
        <v>6069</v>
      </c>
    </row>
    <row r="5256" spans="1:4" ht="12.95" customHeight="1" x14ac:dyDescent="0.25">
      <c r="A5256" s="2" t="s">
        <v>760</v>
      </c>
      <c r="B5256" s="2" t="s">
        <v>1154</v>
      </c>
      <c r="C5256" s="5" t="s">
        <v>1033</v>
      </c>
      <c r="D5256" s="2" t="s">
        <v>6070</v>
      </c>
    </row>
    <row r="5257" spans="1:4" ht="12.95" customHeight="1" x14ac:dyDescent="0.25">
      <c r="A5257" s="2" t="s">
        <v>760</v>
      </c>
      <c r="B5257" s="2" t="s">
        <v>1154</v>
      </c>
      <c r="C5257" s="5" t="s">
        <v>1035</v>
      </c>
      <c r="D5257" s="2" t="s">
        <v>3129</v>
      </c>
    </row>
    <row r="5258" spans="1:4" ht="12.95" customHeight="1" x14ac:dyDescent="0.25">
      <c r="A5258" s="2" t="s">
        <v>760</v>
      </c>
      <c r="B5258" s="2" t="s">
        <v>1154</v>
      </c>
      <c r="C5258" s="5" t="s">
        <v>1177</v>
      </c>
      <c r="D5258" s="2" t="s">
        <v>6071</v>
      </c>
    </row>
    <row r="5259" spans="1:4" ht="12.95" customHeight="1" x14ac:dyDescent="0.25">
      <c r="A5259" s="2" t="s">
        <v>760</v>
      </c>
      <c r="B5259" s="2" t="s">
        <v>1154</v>
      </c>
      <c r="C5259" s="5" t="s">
        <v>1005</v>
      </c>
      <c r="D5259" s="2" t="s">
        <v>1006</v>
      </c>
    </row>
    <row r="5260" spans="1:4" ht="12.95" customHeight="1" x14ac:dyDescent="0.25">
      <c r="A5260" s="2" t="s">
        <v>762</v>
      </c>
      <c r="B5260" s="2" t="s">
        <v>1154</v>
      </c>
      <c r="C5260" s="5" t="s">
        <v>996</v>
      </c>
      <c r="D5260" s="2" t="s">
        <v>997</v>
      </c>
    </row>
    <row r="5261" spans="1:4" ht="12.95" customHeight="1" x14ac:dyDescent="0.25">
      <c r="A5261" s="2" t="s">
        <v>762</v>
      </c>
      <c r="B5261" s="2" t="s">
        <v>1154</v>
      </c>
      <c r="C5261" s="5" t="s">
        <v>978</v>
      </c>
      <c r="D5261" s="2" t="s">
        <v>979</v>
      </c>
    </row>
    <row r="5262" spans="1:4" ht="12.95" customHeight="1" x14ac:dyDescent="0.25">
      <c r="A5262" s="2" t="s">
        <v>762</v>
      </c>
      <c r="B5262" s="2" t="s">
        <v>1154</v>
      </c>
      <c r="C5262" s="5" t="s">
        <v>980</v>
      </c>
      <c r="D5262" s="2" t="s">
        <v>981</v>
      </c>
    </row>
    <row r="5263" spans="1:4" ht="12.95" customHeight="1" x14ac:dyDescent="0.25">
      <c r="A5263" s="2" t="s">
        <v>762</v>
      </c>
      <c r="B5263" s="2" t="s">
        <v>1154</v>
      </c>
      <c r="C5263" s="5" t="s">
        <v>982</v>
      </c>
      <c r="D5263" s="2" t="s">
        <v>983</v>
      </c>
    </row>
    <row r="5264" spans="1:4" ht="12.95" customHeight="1" x14ac:dyDescent="0.25">
      <c r="A5264" s="2" t="s">
        <v>762</v>
      </c>
      <c r="B5264" s="2" t="s">
        <v>1154</v>
      </c>
      <c r="C5264" s="5" t="s">
        <v>984</v>
      </c>
      <c r="D5264" s="2" t="s">
        <v>853</v>
      </c>
    </row>
    <row r="5265" spans="1:4" ht="12.95" customHeight="1" x14ac:dyDescent="0.25">
      <c r="A5265" s="2" t="s">
        <v>762</v>
      </c>
      <c r="B5265" s="2" t="s">
        <v>1154</v>
      </c>
      <c r="C5265" s="5" t="s">
        <v>986</v>
      </c>
      <c r="D5265" s="2" t="s">
        <v>6076</v>
      </c>
    </row>
    <row r="5266" spans="1:4" ht="12.95" customHeight="1" x14ac:dyDescent="0.25">
      <c r="A5266" s="2" t="s">
        <v>762</v>
      </c>
      <c r="B5266" s="2" t="s">
        <v>1154</v>
      </c>
      <c r="C5266" s="5" t="s">
        <v>988</v>
      </c>
      <c r="D5266" s="2" t="s">
        <v>6096</v>
      </c>
    </row>
    <row r="5267" spans="1:4" ht="12.95" customHeight="1" x14ac:dyDescent="0.25">
      <c r="A5267" s="2" t="s">
        <v>762</v>
      </c>
      <c r="B5267" s="2" t="s">
        <v>1154</v>
      </c>
      <c r="C5267" s="5" t="s">
        <v>990</v>
      </c>
      <c r="D5267" s="2" t="s">
        <v>6057</v>
      </c>
    </row>
    <row r="5268" spans="1:4" ht="12.95" customHeight="1" x14ac:dyDescent="0.25">
      <c r="A5268" s="2" t="s">
        <v>762</v>
      </c>
      <c r="B5268" s="2" t="s">
        <v>1154</v>
      </c>
      <c r="C5268" s="5" t="s">
        <v>992</v>
      </c>
      <c r="D5268" s="2" t="s">
        <v>6077</v>
      </c>
    </row>
    <row r="5269" spans="1:4" ht="12.95" customHeight="1" x14ac:dyDescent="0.25">
      <c r="A5269" s="2" t="s">
        <v>762</v>
      </c>
      <c r="B5269" s="2" t="s">
        <v>1154</v>
      </c>
      <c r="C5269" s="5" t="s">
        <v>994</v>
      </c>
      <c r="D5269" s="2" t="s">
        <v>6078</v>
      </c>
    </row>
    <row r="5270" spans="1:4" ht="12.95" customHeight="1" x14ac:dyDescent="0.25">
      <c r="A5270" s="2" t="s">
        <v>762</v>
      </c>
      <c r="B5270" s="2" t="s">
        <v>1154</v>
      </c>
      <c r="C5270" s="5" t="s">
        <v>1003</v>
      </c>
      <c r="D5270" s="2" t="s">
        <v>6079</v>
      </c>
    </row>
    <row r="5271" spans="1:4" ht="12.95" customHeight="1" x14ac:dyDescent="0.25">
      <c r="A5271" s="2" t="s">
        <v>762</v>
      </c>
      <c r="B5271" s="2" t="s">
        <v>1154</v>
      </c>
      <c r="C5271" s="5" t="s">
        <v>1013</v>
      </c>
      <c r="D5271" s="2" t="s">
        <v>6080</v>
      </c>
    </row>
    <row r="5272" spans="1:4" ht="12.95" customHeight="1" x14ac:dyDescent="0.25">
      <c r="A5272" s="2" t="s">
        <v>762</v>
      </c>
      <c r="B5272" s="2" t="s">
        <v>1154</v>
      </c>
      <c r="C5272" s="5" t="s">
        <v>1015</v>
      </c>
      <c r="D5272" s="2" t="s">
        <v>6081</v>
      </c>
    </row>
    <row r="5273" spans="1:4" ht="12.95" customHeight="1" x14ac:dyDescent="0.25">
      <c r="A5273" s="2" t="s">
        <v>762</v>
      </c>
      <c r="B5273" s="2" t="s">
        <v>1154</v>
      </c>
      <c r="C5273" s="5" t="s">
        <v>1017</v>
      </c>
      <c r="D5273" s="2" t="s">
        <v>6082</v>
      </c>
    </row>
    <row r="5274" spans="1:4" ht="12.95" customHeight="1" x14ac:dyDescent="0.25">
      <c r="A5274" s="2" t="s">
        <v>762</v>
      </c>
      <c r="B5274" s="2" t="s">
        <v>1154</v>
      </c>
      <c r="C5274" s="5" t="s">
        <v>1019</v>
      </c>
      <c r="D5274" s="2" t="s">
        <v>6083</v>
      </c>
    </row>
    <row r="5275" spans="1:4" ht="12.95" customHeight="1" x14ac:dyDescent="0.25">
      <c r="A5275" s="2" t="s">
        <v>762</v>
      </c>
      <c r="B5275" s="2" t="s">
        <v>1154</v>
      </c>
      <c r="C5275" s="5" t="s">
        <v>1021</v>
      </c>
      <c r="D5275" s="2" t="s">
        <v>6064</v>
      </c>
    </row>
    <row r="5276" spans="1:4" ht="12.95" customHeight="1" x14ac:dyDescent="0.25">
      <c r="A5276" s="2" t="s">
        <v>762</v>
      </c>
      <c r="B5276" s="2" t="s">
        <v>1154</v>
      </c>
      <c r="C5276" s="5" t="s">
        <v>1023</v>
      </c>
      <c r="D5276" s="2" t="s">
        <v>6084</v>
      </c>
    </row>
    <row r="5277" spans="1:4" ht="12.95" customHeight="1" x14ac:dyDescent="0.25">
      <c r="A5277" s="2" t="s">
        <v>762</v>
      </c>
      <c r="B5277" s="2" t="s">
        <v>1154</v>
      </c>
      <c r="C5277" s="5" t="s">
        <v>1025</v>
      </c>
      <c r="D5277" s="2" t="s">
        <v>6066</v>
      </c>
    </row>
    <row r="5278" spans="1:4" ht="12.95" customHeight="1" x14ac:dyDescent="0.25">
      <c r="A5278" s="2" t="s">
        <v>762</v>
      </c>
      <c r="B5278" s="2" t="s">
        <v>1154</v>
      </c>
      <c r="C5278" s="5" t="s">
        <v>1027</v>
      </c>
      <c r="D5278" s="2" t="s">
        <v>6067</v>
      </c>
    </row>
    <row r="5279" spans="1:4" ht="12.95" customHeight="1" x14ac:dyDescent="0.25">
      <c r="A5279" s="2" t="s">
        <v>762</v>
      </c>
      <c r="B5279" s="2" t="s">
        <v>1154</v>
      </c>
      <c r="C5279" s="5" t="s">
        <v>1029</v>
      </c>
      <c r="D5279" s="2" t="s">
        <v>6068</v>
      </c>
    </row>
    <row r="5280" spans="1:4" ht="12.95" customHeight="1" x14ac:dyDescent="0.25">
      <c r="A5280" s="2" t="s">
        <v>762</v>
      </c>
      <c r="B5280" s="2" t="s">
        <v>1154</v>
      </c>
      <c r="C5280" s="5" t="s">
        <v>1031</v>
      </c>
      <c r="D5280" s="2" t="s">
        <v>6069</v>
      </c>
    </row>
    <row r="5281" spans="1:4" ht="12.95" customHeight="1" x14ac:dyDescent="0.25">
      <c r="A5281" s="2" t="s">
        <v>762</v>
      </c>
      <c r="B5281" s="2" t="s">
        <v>1154</v>
      </c>
      <c r="C5281" s="5" t="s">
        <v>1033</v>
      </c>
      <c r="D5281" s="2" t="s">
        <v>6070</v>
      </c>
    </row>
    <row r="5282" spans="1:4" ht="12.95" customHeight="1" x14ac:dyDescent="0.25">
      <c r="A5282" s="2" t="s">
        <v>762</v>
      </c>
      <c r="B5282" s="2" t="s">
        <v>1154</v>
      </c>
      <c r="C5282" s="5" t="s">
        <v>1035</v>
      </c>
      <c r="D5282" s="2" t="s">
        <v>3129</v>
      </c>
    </row>
    <row r="5283" spans="1:4" ht="12.95" customHeight="1" x14ac:dyDescent="0.25">
      <c r="A5283" s="2" t="s">
        <v>762</v>
      </c>
      <c r="B5283" s="2" t="s">
        <v>1154</v>
      </c>
      <c r="C5283" s="5" t="s">
        <v>1177</v>
      </c>
      <c r="D5283" s="2" t="s">
        <v>6071</v>
      </c>
    </row>
    <row r="5284" spans="1:4" ht="12.95" customHeight="1" x14ac:dyDescent="0.25">
      <c r="A5284" s="2" t="s">
        <v>762</v>
      </c>
      <c r="B5284" s="2" t="s">
        <v>1154</v>
      </c>
      <c r="C5284" s="5" t="s">
        <v>1005</v>
      </c>
      <c r="D5284" s="2" t="s">
        <v>1006</v>
      </c>
    </row>
    <row r="5285" spans="1:4" ht="12.95" customHeight="1" x14ac:dyDescent="0.25">
      <c r="A5285" s="2" t="s">
        <v>764</v>
      </c>
      <c r="B5285" s="2" t="s">
        <v>1154</v>
      </c>
      <c r="C5285" s="5" t="s">
        <v>996</v>
      </c>
      <c r="D5285" s="2" t="s">
        <v>997</v>
      </c>
    </row>
    <row r="5286" spans="1:4" ht="12.95" customHeight="1" x14ac:dyDescent="0.25">
      <c r="A5286" s="2" t="s">
        <v>764</v>
      </c>
      <c r="B5286" s="2" t="s">
        <v>1154</v>
      </c>
      <c r="C5286" s="5" t="s">
        <v>978</v>
      </c>
      <c r="D5286" s="2" t="s">
        <v>979</v>
      </c>
    </row>
    <row r="5287" spans="1:4" ht="12.95" customHeight="1" x14ac:dyDescent="0.25">
      <c r="A5287" s="2" t="s">
        <v>764</v>
      </c>
      <c r="B5287" s="2" t="s">
        <v>1154</v>
      </c>
      <c r="C5287" s="5" t="s">
        <v>980</v>
      </c>
      <c r="D5287" s="2" t="s">
        <v>981</v>
      </c>
    </row>
    <row r="5288" spans="1:4" ht="12.95" customHeight="1" x14ac:dyDescent="0.25">
      <c r="A5288" s="2" t="s">
        <v>764</v>
      </c>
      <c r="B5288" s="2" t="s">
        <v>1154</v>
      </c>
      <c r="C5288" s="5" t="s">
        <v>982</v>
      </c>
      <c r="D5288" s="2" t="s">
        <v>983</v>
      </c>
    </row>
    <row r="5289" spans="1:4" ht="12.95" customHeight="1" x14ac:dyDescent="0.25">
      <c r="A5289" s="2" t="s">
        <v>764</v>
      </c>
      <c r="B5289" s="2" t="s">
        <v>1154</v>
      </c>
      <c r="C5289" s="5" t="s">
        <v>984</v>
      </c>
      <c r="D5289" s="2" t="s">
        <v>853</v>
      </c>
    </row>
    <row r="5290" spans="1:4" ht="12.95" customHeight="1" x14ac:dyDescent="0.25">
      <c r="A5290" s="2" t="s">
        <v>764</v>
      </c>
      <c r="B5290" s="2" t="s">
        <v>1154</v>
      </c>
      <c r="C5290" s="5" t="s">
        <v>986</v>
      </c>
      <c r="D5290" s="2" t="s">
        <v>6076</v>
      </c>
    </row>
    <row r="5291" spans="1:4" ht="12.95" customHeight="1" x14ac:dyDescent="0.25">
      <c r="A5291" s="2" t="s">
        <v>764</v>
      </c>
      <c r="B5291" s="2" t="s">
        <v>1154</v>
      </c>
      <c r="C5291" s="5" t="s">
        <v>988</v>
      </c>
      <c r="D5291" s="2" t="s">
        <v>6096</v>
      </c>
    </row>
    <row r="5292" spans="1:4" ht="12.95" customHeight="1" x14ac:dyDescent="0.25">
      <c r="A5292" s="2" t="s">
        <v>764</v>
      </c>
      <c r="B5292" s="2" t="s">
        <v>1154</v>
      </c>
      <c r="C5292" s="5" t="s">
        <v>990</v>
      </c>
      <c r="D5292" s="2" t="s">
        <v>6057</v>
      </c>
    </row>
    <row r="5293" spans="1:4" ht="12.95" customHeight="1" x14ac:dyDescent="0.25">
      <c r="A5293" s="2" t="s">
        <v>764</v>
      </c>
      <c r="B5293" s="2" t="s">
        <v>1154</v>
      </c>
      <c r="C5293" s="5" t="s">
        <v>992</v>
      </c>
      <c r="D5293" s="2" t="s">
        <v>6077</v>
      </c>
    </row>
    <row r="5294" spans="1:4" ht="12.95" customHeight="1" x14ac:dyDescent="0.25">
      <c r="A5294" s="2" t="s">
        <v>764</v>
      </c>
      <c r="B5294" s="2" t="s">
        <v>1154</v>
      </c>
      <c r="C5294" s="5" t="s">
        <v>994</v>
      </c>
      <c r="D5294" s="2" t="s">
        <v>6078</v>
      </c>
    </row>
    <row r="5295" spans="1:4" ht="12.95" customHeight="1" x14ac:dyDescent="0.25">
      <c r="A5295" s="2" t="s">
        <v>764</v>
      </c>
      <c r="B5295" s="2" t="s">
        <v>1154</v>
      </c>
      <c r="C5295" s="5" t="s">
        <v>1003</v>
      </c>
      <c r="D5295" s="2" t="s">
        <v>6079</v>
      </c>
    </row>
    <row r="5296" spans="1:4" ht="12.95" customHeight="1" x14ac:dyDescent="0.25">
      <c r="A5296" s="2" t="s">
        <v>764</v>
      </c>
      <c r="B5296" s="2" t="s">
        <v>1154</v>
      </c>
      <c r="C5296" s="5" t="s">
        <v>1013</v>
      </c>
      <c r="D5296" s="2" t="s">
        <v>6080</v>
      </c>
    </row>
    <row r="5297" spans="1:4" ht="12.95" customHeight="1" x14ac:dyDescent="0.25">
      <c r="A5297" s="2" t="s">
        <v>764</v>
      </c>
      <c r="B5297" s="2" t="s">
        <v>1154</v>
      </c>
      <c r="C5297" s="5" t="s">
        <v>1015</v>
      </c>
      <c r="D5297" s="2" t="s">
        <v>6081</v>
      </c>
    </row>
    <row r="5298" spans="1:4" ht="12.95" customHeight="1" x14ac:dyDescent="0.25">
      <c r="A5298" s="2" t="s">
        <v>764</v>
      </c>
      <c r="B5298" s="2" t="s">
        <v>1154</v>
      </c>
      <c r="C5298" s="5" t="s">
        <v>1017</v>
      </c>
      <c r="D5298" s="2" t="s">
        <v>6082</v>
      </c>
    </row>
    <row r="5299" spans="1:4" ht="12.95" customHeight="1" x14ac:dyDescent="0.25">
      <c r="A5299" s="2" t="s">
        <v>764</v>
      </c>
      <c r="B5299" s="2" t="s">
        <v>1154</v>
      </c>
      <c r="C5299" s="5" t="s">
        <v>1019</v>
      </c>
      <c r="D5299" s="2" t="s">
        <v>6083</v>
      </c>
    </row>
    <row r="5300" spans="1:4" ht="12.95" customHeight="1" x14ac:dyDescent="0.25">
      <c r="A5300" s="2" t="s">
        <v>764</v>
      </c>
      <c r="B5300" s="2" t="s">
        <v>1154</v>
      </c>
      <c r="C5300" s="5" t="s">
        <v>1021</v>
      </c>
      <c r="D5300" s="2" t="s">
        <v>6064</v>
      </c>
    </row>
    <row r="5301" spans="1:4" ht="12.95" customHeight="1" x14ac:dyDescent="0.25">
      <c r="A5301" s="2" t="s">
        <v>764</v>
      </c>
      <c r="B5301" s="2" t="s">
        <v>1154</v>
      </c>
      <c r="C5301" s="5" t="s">
        <v>1023</v>
      </c>
      <c r="D5301" s="2" t="s">
        <v>6084</v>
      </c>
    </row>
    <row r="5302" spans="1:4" ht="12.95" customHeight="1" x14ac:dyDescent="0.25">
      <c r="A5302" s="2" t="s">
        <v>764</v>
      </c>
      <c r="B5302" s="2" t="s">
        <v>1154</v>
      </c>
      <c r="C5302" s="5" t="s">
        <v>1025</v>
      </c>
      <c r="D5302" s="2" t="s">
        <v>6066</v>
      </c>
    </row>
    <row r="5303" spans="1:4" ht="12.95" customHeight="1" x14ac:dyDescent="0.25">
      <c r="A5303" s="2" t="s">
        <v>764</v>
      </c>
      <c r="B5303" s="2" t="s">
        <v>1154</v>
      </c>
      <c r="C5303" s="5" t="s">
        <v>1027</v>
      </c>
      <c r="D5303" s="2" t="s">
        <v>6067</v>
      </c>
    </row>
    <row r="5304" spans="1:4" ht="12.95" customHeight="1" x14ac:dyDescent="0.25">
      <c r="A5304" s="2" t="s">
        <v>764</v>
      </c>
      <c r="B5304" s="2" t="s">
        <v>1154</v>
      </c>
      <c r="C5304" s="5" t="s">
        <v>1029</v>
      </c>
      <c r="D5304" s="2" t="s">
        <v>6068</v>
      </c>
    </row>
    <row r="5305" spans="1:4" ht="12.95" customHeight="1" x14ac:dyDescent="0.25">
      <c r="A5305" s="2" t="s">
        <v>764</v>
      </c>
      <c r="B5305" s="2" t="s">
        <v>1154</v>
      </c>
      <c r="C5305" s="5" t="s">
        <v>1031</v>
      </c>
      <c r="D5305" s="2" t="s">
        <v>6069</v>
      </c>
    </row>
    <row r="5306" spans="1:4" ht="12.95" customHeight="1" x14ac:dyDescent="0.25">
      <c r="A5306" s="2" t="s">
        <v>764</v>
      </c>
      <c r="B5306" s="2" t="s">
        <v>1154</v>
      </c>
      <c r="C5306" s="5" t="s">
        <v>1033</v>
      </c>
      <c r="D5306" s="2" t="s">
        <v>6070</v>
      </c>
    </row>
    <row r="5307" spans="1:4" ht="12.95" customHeight="1" x14ac:dyDescent="0.25">
      <c r="A5307" s="2" t="s">
        <v>764</v>
      </c>
      <c r="B5307" s="2" t="s">
        <v>1154</v>
      </c>
      <c r="C5307" s="5" t="s">
        <v>1035</v>
      </c>
      <c r="D5307" s="2" t="s">
        <v>3129</v>
      </c>
    </row>
    <row r="5308" spans="1:4" ht="12.95" customHeight="1" x14ac:dyDescent="0.25">
      <c r="A5308" s="2" t="s">
        <v>764</v>
      </c>
      <c r="B5308" s="2" t="s">
        <v>1154</v>
      </c>
      <c r="C5308" s="5" t="s">
        <v>1177</v>
      </c>
      <c r="D5308" s="2" t="s">
        <v>6071</v>
      </c>
    </row>
    <row r="5309" spans="1:4" ht="12.95" customHeight="1" x14ac:dyDescent="0.25">
      <c r="A5309" s="2" t="s">
        <v>764</v>
      </c>
      <c r="B5309" s="2" t="s">
        <v>1154</v>
      </c>
      <c r="C5309" s="5" t="s">
        <v>1005</v>
      </c>
      <c r="D5309" s="2" t="s">
        <v>1006</v>
      </c>
    </row>
    <row r="5310" spans="1:4" ht="12.95" customHeight="1" x14ac:dyDescent="0.25">
      <c r="A5310" s="2" t="s">
        <v>766</v>
      </c>
      <c r="B5310" s="2" t="s">
        <v>1154</v>
      </c>
      <c r="C5310" s="5" t="s">
        <v>996</v>
      </c>
      <c r="D5310" s="2" t="s">
        <v>997</v>
      </c>
    </row>
    <row r="5311" spans="1:4" ht="12.95" customHeight="1" x14ac:dyDescent="0.25">
      <c r="A5311" s="2" t="s">
        <v>766</v>
      </c>
      <c r="B5311" s="2" t="s">
        <v>1154</v>
      </c>
      <c r="C5311" s="5" t="s">
        <v>978</v>
      </c>
      <c r="D5311" s="2" t="s">
        <v>1047</v>
      </c>
    </row>
    <row r="5312" spans="1:4" ht="12.95" customHeight="1" x14ac:dyDescent="0.25">
      <c r="A5312" s="2" t="s">
        <v>766</v>
      </c>
      <c r="B5312" s="2" t="s">
        <v>1154</v>
      </c>
      <c r="C5312" s="5" t="s">
        <v>980</v>
      </c>
      <c r="D5312" s="2" t="s">
        <v>1041</v>
      </c>
    </row>
    <row r="5313" spans="1:4" ht="12.95" customHeight="1" x14ac:dyDescent="0.25">
      <c r="A5313" s="2" t="s">
        <v>766</v>
      </c>
      <c r="B5313" s="2" t="s">
        <v>1154</v>
      </c>
      <c r="C5313" s="5" t="s">
        <v>982</v>
      </c>
      <c r="D5313" s="2" t="s">
        <v>983</v>
      </c>
    </row>
    <row r="5314" spans="1:4" ht="12.95" customHeight="1" x14ac:dyDescent="0.25">
      <c r="A5314" s="2" t="s">
        <v>769</v>
      </c>
      <c r="B5314" s="2" t="s">
        <v>1040</v>
      </c>
      <c r="C5314" s="5" t="s">
        <v>984</v>
      </c>
      <c r="D5314" s="2" t="s">
        <v>1061</v>
      </c>
    </row>
    <row r="5315" spans="1:4" ht="12.95" customHeight="1" x14ac:dyDescent="0.25">
      <c r="A5315" s="2" t="s">
        <v>769</v>
      </c>
      <c r="B5315" s="2" t="s">
        <v>1040</v>
      </c>
      <c r="C5315" s="5" t="s">
        <v>986</v>
      </c>
      <c r="D5315" s="2" t="s">
        <v>1062</v>
      </c>
    </row>
    <row r="5316" spans="1:4" ht="12.95" customHeight="1" x14ac:dyDescent="0.25">
      <c r="A5316" s="2" t="s">
        <v>771</v>
      </c>
      <c r="B5316" s="2" t="s">
        <v>1154</v>
      </c>
      <c r="C5316" s="5" t="s">
        <v>996</v>
      </c>
      <c r="D5316" s="2" t="s">
        <v>997</v>
      </c>
    </row>
    <row r="5317" spans="1:4" ht="12.95" customHeight="1" x14ac:dyDescent="0.25">
      <c r="A5317" s="2" t="s">
        <v>771</v>
      </c>
      <c r="B5317" s="2" t="s">
        <v>1154</v>
      </c>
      <c r="C5317" s="5" t="s">
        <v>6097</v>
      </c>
      <c r="D5317" s="2" t="s">
        <v>6098</v>
      </c>
    </row>
    <row r="5318" spans="1:4" ht="12.95" customHeight="1" x14ac:dyDescent="0.25">
      <c r="A5318" s="2" t="s">
        <v>771</v>
      </c>
      <c r="B5318" s="2" t="s">
        <v>1154</v>
      </c>
      <c r="C5318" s="5" t="s">
        <v>6099</v>
      </c>
      <c r="D5318" s="2" t="s">
        <v>6100</v>
      </c>
    </row>
    <row r="5319" spans="1:4" ht="12.95" customHeight="1" x14ac:dyDescent="0.25">
      <c r="A5319" s="2" t="s">
        <v>771</v>
      </c>
      <c r="B5319" s="2" t="s">
        <v>1154</v>
      </c>
      <c r="C5319" s="5" t="s">
        <v>6101</v>
      </c>
      <c r="D5319" s="2" t="s">
        <v>6102</v>
      </c>
    </row>
    <row r="5320" spans="1:4" ht="12.95" customHeight="1" x14ac:dyDescent="0.25">
      <c r="A5320" s="2" t="s">
        <v>771</v>
      </c>
      <c r="B5320" s="2" t="s">
        <v>1154</v>
      </c>
      <c r="C5320" s="5" t="s">
        <v>6103</v>
      </c>
      <c r="D5320" s="2" t="s">
        <v>6104</v>
      </c>
    </row>
    <row r="5321" spans="1:4" ht="12.95" customHeight="1" x14ac:dyDescent="0.25">
      <c r="A5321" s="2" t="s">
        <v>771</v>
      </c>
      <c r="B5321" s="2" t="s">
        <v>1154</v>
      </c>
      <c r="C5321" s="5" t="s">
        <v>6105</v>
      </c>
      <c r="D5321" s="2" t="s">
        <v>6106</v>
      </c>
    </row>
    <row r="5322" spans="1:4" ht="12.95" customHeight="1" x14ac:dyDescent="0.25">
      <c r="A5322" s="2" t="s">
        <v>773</v>
      </c>
      <c r="B5322" s="2" t="s">
        <v>1154</v>
      </c>
      <c r="C5322" s="5" t="s">
        <v>996</v>
      </c>
      <c r="D5322" s="2" t="s">
        <v>997</v>
      </c>
    </row>
    <row r="5323" spans="1:4" ht="12.95" customHeight="1" x14ac:dyDescent="0.25">
      <c r="A5323" s="2" t="s">
        <v>775</v>
      </c>
      <c r="B5323" s="2" t="s">
        <v>1154</v>
      </c>
      <c r="C5323" s="5" t="s">
        <v>996</v>
      </c>
      <c r="D5323" s="2" t="s">
        <v>997</v>
      </c>
    </row>
    <row r="5324" spans="1:4" ht="12.95" customHeight="1" x14ac:dyDescent="0.25">
      <c r="A5324" s="2" t="s">
        <v>777</v>
      </c>
      <c r="B5324" s="2" t="s">
        <v>1154</v>
      </c>
      <c r="C5324" s="5" t="s">
        <v>984</v>
      </c>
      <c r="D5324" s="2" t="s">
        <v>1061</v>
      </c>
    </row>
    <row r="5325" spans="1:4" ht="12.95" customHeight="1" x14ac:dyDescent="0.25">
      <c r="A5325" s="2" t="s">
        <v>777</v>
      </c>
      <c r="B5325" s="2" t="s">
        <v>1154</v>
      </c>
      <c r="C5325" s="5" t="s">
        <v>986</v>
      </c>
      <c r="D5325" s="2" t="s">
        <v>1062</v>
      </c>
    </row>
    <row r="5326" spans="1:4" ht="12.95" customHeight="1" x14ac:dyDescent="0.25">
      <c r="A5326" s="2" t="s">
        <v>779</v>
      </c>
      <c r="B5326" s="2" t="s">
        <v>1154</v>
      </c>
      <c r="C5326" s="5" t="s">
        <v>996</v>
      </c>
      <c r="D5326" s="2" t="s">
        <v>997</v>
      </c>
    </row>
    <row r="5327" spans="1:4" ht="12.95" customHeight="1" x14ac:dyDescent="0.25">
      <c r="A5327" s="2" t="s">
        <v>783</v>
      </c>
      <c r="B5327" s="2" t="s">
        <v>1154</v>
      </c>
      <c r="C5327" s="5" t="s">
        <v>978</v>
      </c>
      <c r="D5327" s="2" t="s">
        <v>1047</v>
      </c>
    </row>
    <row r="5328" spans="1:4" ht="12.95" customHeight="1" x14ac:dyDescent="0.25">
      <c r="A5328" s="2" t="s">
        <v>783</v>
      </c>
      <c r="B5328" s="2" t="s">
        <v>1154</v>
      </c>
      <c r="C5328" s="5" t="s">
        <v>980</v>
      </c>
      <c r="D5328" s="2" t="s">
        <v>1041</v>
      </c>
    </row>
    <row r="5329" spans="1:4" ht="12.95" customHeight="1" x14ac:dyDescent="0.25">
      <c r="A5329" s="2" t="s">
        <v>783</v>
      </c>
      <c r="B5329" s="2" t="s">
        <v>1154</v>
      </c>
      <c r="C5329" s="5" t="s">
        <v>984</v>
      </c>
      <c r="D5329" s="2" t="s">
        <v>1061</v>
      </c>
    </row>
    <row r="5330" spans="1:4" ht="12.95" customHeight="1" x14ac:dyDescent="0.25">
      <c r="A5330" s="2" t="s">
        <v>783</v>
      </c>
      <c r="B5330" s="2" t="s">
        <v>1154</v>
      </c>
      <c r="C5330" s="5" t="s">
        <v>986</v>
      </c>
      <c r="D5330" s="2" t="s">
        <v>1062</v>
      </c>
    </row>
    <row r="5331" spans="1:4" ht="12.95" customHeight="1" x14ac:dyDescent="0.25">
      <c r="A5331" s="2" t="s">
        <v>786</v>
      </c>
      <c r="B5331" s="2" t="s">
        <v>1154</v>
      </c>
      <c r="C5331" s="5" t="s">
        <v>996</v>
      </c>
      <c r="D5331" s="2" t="s">
        <v>997</v>
      </c>
    </row>
    <row r="5332" spans="1:4" ht="12.95" customHeight="1" x14ac:dyDescent="0.25">
      <c r="A5332" s="2" t="s">
        <v>786</v>
      </c>
      <c r="B5332" s="2" t="s">
        <v>1154</v>
      </c>
      <c r="C5332" s="5" t="s">
        <v>978</v>
      </c>
      <c r="D5332" s="2" t="s">
        <v>979</v>
      </c>
    </row>
    <row r="5333" spans="1:4" ht="12.95" customHeight="1" x14ac:dyDescent="0.25">
      <c r="A5333" s="2" t="s">
        <v>786</v>
      </c>
      <c r="B5333" s="2" t="s">
        <v>1154</v>
      </c>
      <c r="C5333" s="5" t="s">
        <v>980</v>
      </c>
      <c r="D5333" s="2" t="s">
        <v>981</v>
      </c>
    </row>
    <row r="5334" spans="1:4" ht="12.95" customHeight="1" x14ac:dyDescent="0.25">
      <c r="A5334" s="2" t="s">
        <v>786</v>
      </c>
      <c r="B5334" s="2" t="s">
        <v>1154</v>
      </c>
      <c r="C5334" s="5" t="s">
        <v>982</v>
      </c>
      <c r="D5334" s="2" t="s">
        <v>983</v>
      </c>
    </row>
    <row r="5335" spans="1:4" ht="12.95" customHeight="1" x14ac:dyDescent="0.25">
      <c r="A5335" s="2" t="s">
        <v>786</v>
      </c>
      <c r="B5335" s="2" t="s">
        <v>1154</v>
      </c>
      <c r="C5335" s="5" t="s">
        <v>984</v>
      </c>
      <c r="D5335" s="2" t="s">
        <v>853</v>
      </c>
    </row>
    <row r="5336" spans="1:4" ht="12.95" customHeight="1" x14ac:dyDescent="0.25">
      <c r="A5336" s="2" t="s">
        <v>786</v>
      </c>
      <c r="B5336" s="2" t="s">
        <v>1154</v>
      </c>
      <c r="C5336" s="5" t="s">
        <v>986</v>
      </c>
      <c r="D5336" s="2" t="s">
        <v>1001</v>
      </c>
    </row>
    <row r="5337" spans="1:4" ht="12.95" customHeight="1" x14ac:dyDescent="0.25">
      <c r="A5337" s="2" t="s">
        <v>786</v>
      </c>
      <c r="B5337" s="2" t="s">
        <v>1154</v>
      </c>
      <c r="C5337" s="5" t="s">
        <v>988</v>
      </c>
      <c r="D5337" s="2" t="s">
        <v>6096</v>
      </c>
    </row>
    <row r="5338" spans="1:4" ht="12.95" customHeight="1" x14ac:dyDescent="0.25">
      <c r="A5338" s="2" t="s">
        <v>786</v>
      </c>
      <c r="B5338" s="2" t="s">
        <v>1154</v>
      </c>
      <c r="C5338" s="5" t="s">
        <v>990</v>
      </c>
      <c r="D5338" s="2" t="s">
        <v>6057</v>
      </c>
    </row>
    <row r="5339" spans="1:4" ht="12.95" customHeight="1" x14ac:dyDescent="0.25">
      <c r="A5339" s="2" t="s">
        <v>786</v>
      </c>
      <c r="B5339" s="2" t="s">
        <v>1154</v>
      </c>
      <c r="C5339" s="5" t="s">
        <v>992</v>
      </c>
      <c r="D5339" s="2" t="s">
        <v>4517</v>
      </c>
    </row>
    <row r="5340" spans="1:4" ht="12.95" customHeight="1" x14ac:dyDescent="0.25">
      <c r="A5340" s="2" t="s">
        <v>786</v>
      </c>
      <c r="B5340" s="2" t="s">
        <v>1154</v>
      </c>
      <c r="C5340" s="5" t="s">
        <v>994</v>
      </c>
      <c r="D5340" s="2" t="s">
        <v>6058</v>
      </c>
    </row>
    <row r="5341" spans="1:4" ht="12.95" customHeight="1" x14ac:dyDescent="0.25">
      <c r="A5341" s="2" t="s">
        <v>786</v>
      </c>
      <c r="B5341" s="2" t="s">
        <v>1154</v>
      </c>
      <c r="C5341" s="5" t="s">
        <v>1003</v>
      </c>
      <c r="D5341" s="2" t="s">
        <v>6079</v>
      </c>
    </row>
    <row r="5342" spans="1:4" ht="12.95" customHeight="1" x14ac:dyDescent="0.25">
      <c r="A5342" s="2" t="s">
        <v>786</v>
      </c>
      <c r="B5342" s="2" t="s">
        <v>1154</v>
      </c>
      <c r="C5342" s="5" t="s">
        <v>1013</v>
      </c>
      <c r="D5342" s="2" t="s">
        <v>6060</v>
      </c>
    </row>
    <row r="5343" spans="1:4" ht="12.95" customHeight="1" x14ac:dyDescent="0.25">
      <c r="A5343" s="2" t="s">
        <v>786</v>
      </c>
      <c r="B5343" s="2" t="s">
        <v>1154</v>
      </c>
      <c r="C5343" s="5" t="s">
        <v>1015</v>
      </c>
      <c r="D5343" s="2" t="s">
        <v>6061</v>
      </c>
    </row>
    <row r="5344" spans="1:4" ht="12.95" customHeight="1" x14ac:dyDescent="0.25">
      <c r="A5344" s="2" t="s">
        <v>786</v>
      </c>
      <c r="B5344" s="2" t="s">
        <v>1154</v>
      </c>
      <c r="C5344" s="5" t="s">
        <v>1017</v>
      </c>
      <c r="D5344" s="2" t="s">
        <v>6062</v>
      </c>
    </row>
    <row r="5345" spans="1:4" ht="12.95" customHeight="1" x14ac:dyDescent="0.25">
      <c r="A5345" s="2" t="s">
        <v>786</v>
      </c>
      <c r="B5345" s="2" t="s">
        <v>1154</v>
      </c>
      <c r="C5345" s="5" t="s">
        <v>1019</v>
      </c>
      <c r="D5345" s="2" t="s">
        <v>6083</v>
      </c>
    </row>
    <row r="5346" spans="1:4" ht="12.95" customHeight="1" x14ac:dyDescent="0.25">
      <c r="A5346" s="2" t="s">
        <v>786</v>
      </c>
      <c r="B5346" s="2" t="s">
        <v>1154</v>
      </c>
      <c r="C5346" s="5" t="s">
        <v>1021</v>
      </c>
      <c r="D5346" s="2" t="s">
        <v>6107</v>
      </c>
    </row>
    <row r="5347" spans="1:4" ht="12.95" customHeight="1" x14ac:dyDescent="0.25">
      <c r="A5347" s="2" t="s">
        <v>786</v>
      </c>
      <c r="B5347" s="2" t="s">
        <v>1154</v>
      </c>
      <c r="C5347" s="5" t="s">
        <v>1023</v>
      </c>
      <c r="D5347" s="2" t="s">
        <v>6065</v>
      </c>
    </row>
    <row r="5348" spans="1:4" ht="12.95" customHeight="1" x14ac:dyDescent="0.25">
      <c r="A5348" s="2" t="s">
        <v>786</v>
      </c>
      <c r="B5348" s="2" t="s">
        <v>1154</v>
      </c>
      <c r="C5348" s="5" t="s">
        <v>1025</v>
      </c>
      <c r="D5348" s="2" t="s">
        <v>6066</v>
      </c>
    </row>
    <row r="5349" spans="1:4" ht="12.95" customHeight="1" x14ac:dyDescent="0.25">
      <c r="A5349" s="2" t="s">
        <v>786</v>
      </c>
      <c r="B5349" s="2" t="s">
        <v>1154</v>
      </c>
      <c r="C5349" s="5" t="s">
        <v>1027</v>
      </c>
      <c r="D5349" s="2" t="s">
        <v>6067</v>
      </c>
    </row>
    <row r="5350" spans="1:4" ht="12.95" customHeight="1" x14ac:dyDescent="0.25">
      <c r="A5350" s="2" t="s">
        <v>786</v>
      </c>
      <c r="B5350" s="2" t="s">
        <v>1154</v>
      </c>
      <c r="C5350" s="5" t="s">
        <v>1029</v>
      </c>
      <c r="D5350" s="2" t="s">
        <v>6108</v>
      </c>
    </row>
    <row r="5351" spans="1:4" ht="12.95" customHeight="1" x14ac:dyDescent="0.25">
      <c r="A5351" s="2" t="s">
        <v>786</v>
      </c>
      <c r="B5351" s="2" t="s">
        <v>1154</v>
      </c>
      <c r="C5351" s="5" t="s">
        <v>1031</v>
      </c>
      <c r="D5351" s="2" t="s">
        <v>6109</v>
      </c>
    </row>
    <row r="5352" spans="1:4" ht="12.95" customHeight="1" x14ac:dyDescent="0.25">
      <c r="A5352" s="2" t="s">
        <v>786</v>
      </c>
      <c r="B5352" s="2" t="s">
        <v>1154</v>
      </c>
      <c r="C5352" s="5" t="s">
        <v>1033</v>
      </c>
      <c r="D5352" s="2" t="s">
        <v>6070</v>
      </c>
    </row>
    <row r="5353" spans="1:4" ht="12.95" customHeight="1" x14ac:dyDescent="0.25">
      <c r="A5353" s="2" t="s">
        <v>786</v>
      </c>
      <c r="B5353" s="2" t="s">
        <v>1154</v>
      </c>
      <c r="C5353" s="5" t="s">
        <v>1035</v>
      </c>
      <c r="D5353" s="2" t="s">
        <v>6087</v>
      </c>
    </row>
    <row r="5354" spans="1:4" ht="12.95" customHeight="1" x14ac:dyDescent="0.25">
      <c r="A5354" s="2" t="s">
        <v>786</v>
      </c>
      <c r="B5354" s="2" t="s">
        <v>1154</v>
      </c>
      <c r="C5354" s="5" t="s">
        <v>1177</v>
      </c>
      <c r="D5354" s="2" t="s">
        <v>6110</v>
      </c>
    </row>
    <row r="5355" spans="1:4" ht="12.95" customHeight="1" x14ac:dyDescent="0.25">
      <c r="A5355" s="2" t="s">
        <v>786</v>
      </c>
      <c r="B5355" s="2" t="s">
        <v>1154</v>
      </c>
      <c r="C5355" s="5" t="s">
        <v>1005</v>
      </c>
      <c r="D5355" s="2" t="s">
        <v>6088</v>
      </c>
    </row>
    <row r="5356" spans="1:4" ht="12.95" customHeight="1" x14ac:dyDescent="0.25">
      <c r="A5356" s="2" t="s">
        <v>788</v>
      </c>
      <c r="B5356" s="2" t="s">
        <v>1154</v>
      </c>
      <c r="C5356" s="5" t="s">
        <v>978</v>
      </c>
      <c r="D5356" s="2" t="s">
        <v>979</v>
      </c>
    </row>
    <row r="5357" spans="1:4" ht="12.95" customHeight="1" x14ac:dyDescent="0.25">
      <c r="A5357" s="2" t="s">
        <v>788</v>
      </c>
      <c r="B5357" s="2" t="s">
        <v>1154</v>
      </c>
      <c r="C5357" s="5" t="s">
        <v>980</v>
      </c>
      <c r="D5357" s="2" t="s">
        <v>981</v>
      </c>
    </row>
    <row r="5358" spans="1:4" ht="12.95" customHeight="1" x14ac:dyDescent="0.25">
      <c r="A5358" s="2" t="s">
        <v>788</v>
      </c>
      <c r="B5358" s="2" t="s">
        <v>1154</v>
      </c>
      <c r="C5358" s="5" t="s">
        <v>984</v>
      </c>
      <c r="D5358" s="2" t="s">
        <v>853</v>
      </c>
    </row>
    <row r="5359" spans="1:4" ht="12.95" customHeight="1" x14ac:dyDescent="0.25">
      <c r="A5359" s="2" t="s">
        <v>788</v>
      </c>
      <c r="B5359" s="2" t="s">
        <v>1154</v>
      </c>
      <c r="C5359" s="5" t="s">
        <v>986</v>
      </c>
      <c r="D5359" s="2" t="s">
        <v>1001</v>
      </c>
    </row>
    <row r="5360" spans="1:4" ht="12.95" customHeight="1" x14ac:dyDescent="0.25">
      <c r="A5360" s="2" t="s">
        <v>788</v>
      </c>
      <c r="B5360" s="2" t="s">
        <v>1154</v>
      </c>
      <c r="C5360" s="5" t="s">
        <v>988</v>
      </c>
      <c r="D5360" s="2" t="s">
        <v>6096</v>
      </c>
    </row>
    <row r="5361" spans="1:4" ht="12.95" customHeight="1" x14ac:dyDescent="0.25">
      <c r="A5361" s="2" t="s">
        <v>788</v>
      </c>
      <c r="B5361" s="2" t="s">
        <v>1154</v>
      </c>
      <c r="C5361" s="5" t="s">
        <v>990</v>
      </c>
      <c r="D5361" s="2" t="s">
        <v>6057</v>
      </c>
    </row>
    <row r="5362" spans="1:4" ht="12.95" customHeight="1" x14ac:dyDescent="0.25">
      <c r="A5362" s="2" t="s">
        <v>788</v>
      </c>
      <c r="B5362" s="2" t="s">
        <v>1154</v>
      </c>
      <c r="C5362" s="5" t="s">
        <v>992</v>
      </c>
      <c r="D5362" s="2" t="s">
        <v>4517</v>
      </c>
    </row>
    <row r="5363" spans="1:4" ht="12.95" customHeight="1" x14ac:dyDescent="0.25">
      <c r="A5363" s="2" t="s">
        <v>788</v>
      </c>
      <c r="B5363" s="2" t="s">
        <v>1154</v>
      </c>
      <c r="C5363" s="5" t="s">
        <v>994</v>
      </c>
      <c r="D5363" s="2" t="s">
        <v>6058</v>
      </c>
    </row>
    <row r="5364" spans="1:4" ht="12.95" customHeight="1" x14ac:dyDescent="0.25">
      <c r="A5364" s="2" t="s">
        <v>788</v>
      </c>
      <c r="B5364" s="2" t="s">
        <v>1154</v>
      </c>
      <c r="C5364" s="5" t="s">
        <v>1003</v>
      </c>
      <c r="D5364" s="2" t="s">
        <v>6079</v>
      </c>
    </row>
    <row r="5365" spans="1:4" ht="12.95" customHeight="1" x14ac:dyDescent="0.25">
      <c r="A5365" s="2" t="s">
        <v>788</v>
      </c>
      <c r="B5365" s="2" t="s">
        <v>1154</v>
      </c>
      <c r="C5365" s="5" t="s">
        <v>1013</v>
      </c>
      <c r="D5365" s="2" t="s">
        <v>6060</v>
      </c>
    </row>
    <row r="5366" spans="1:4" ht="12.95" customHeight="1" x14ac:dyDescent="0.25">
      <c r="A5366" s="2" t="s">
        <v>788</v>
      </c>
      <c r="B5366" s="2" t="s">
        <v>1154</v>
      </c>
      <c r="C5366" s="5" t="s">
        <v>1015</v>
      </c>
      <c r="D5366" s="2" t="s">
        <v>6061</v>
      </c>
    </row>
    <row r="5367" spans="1:4" ht="12.95" customHeight="1" x14ac:dyDescent="0.25">
      <c r="A5367" s="2" t="s">
        <v>788</v>
      </c>
      <c r="B5367" s="2" t="s">
        <v>1154</v>
      </c>
      <c r="C5367" s="5" t="s">
        <v>1017</v>
      </c>
      <c r="D5367" s="2" t="s">
        <v>6062</v>
      </c>
    </row>
    <row r="5368" spans="1:4" ht="12.95" customHeight="1" x14ac:dyDescent="0.25">
      <c r="A5368" s="2" t="s">
        <v>788</v>
      </c>
      <c r="B5368" s="2" t="s">
        <v>1154</v>
      </c>
      <c r="C5368" s="5" t="s">
        <v>1019</v>
      </c>
      <c r="D5368" s="2" t="s">
        <v>6083</v>
      </c>
    </row>
    <row r="5369" spans="1:4" ht="12.95" customHeight="1" x14ac:dyDescent="0.25">
      <c r="A5369" s="2" t="s">
        <v>788</v>
      </c>
      <c r="B5369" s="2" t="s">
        <v>1154</v>
      </c>
      <c r="C5369" s="5" t="s">
        <v>1021</v>
      </c>
      <c r="D5369" s="2" t="s">
        <v>6107</v>
      </c>
    </row>
    <row r="5370" spans="1:4" ht="12.95" customHeight="1" x14ac:dyDescent="0.25">
      <c r="A5370" s="2" t="s">
        <v>788</v>
      </c>
      <c r="B5370" s="2" t="s">
        <v>1154</v>
      </c>
      <c r="C5370" s="5" t="s">
        <v>1023</v>
      </c>
      <c r="D5370" s="2" t="s">
        <v>6065</v>
      </c>
    </row>
    <row r="5371" spans="1:4" ht="12.95" customHeight="1" x14ac:dyDescent="0.25">
      <c r="A5371" s="2" t="s">
        <v>788</v>
      </c>
      <c r="B5371" s="2" t="s">
        <v>1154</v>
      </c>
      <c r="C5371" s="5" t="s">
        <v>1025</v>
      </c>
      <c r="D5371" s="2" t="s">
        <v>6066</v>
      </c>
    </row>
    <row r="5372" spans="1:4" ht="12.95" customHeight="1" x14ac:dyDescent="0.25">
      <c r="A5372" s="2" t="s">
        <v>788</v>
      </c>
      <c r="B5372" s="2" t="s">
        <v>1154</v>
      </c>
      <c r="C5372" s="5" t="s">
        <v>1027</v>
      </c>
      <c r="D5372" s="2" t="s">
        <v>6067</v>
      </c>
    </row>
    <row r="5373" spans="1:4" ht="12.95" customHeight="1" x14ac:dyDescent="0.25">
      <c r="A5373" s="2" t="s">
        <v>788</v>
      </c>
      <c r="B5373" s="2" t="s">
        <v>1154</v>
      </c>
      <c r="C5373" s="5" t="s">
        <v>1029</v>
      </c>
      <c r="D5373" s="2" t="s">
        <v>6108</v>
      </c>
    </row>
    <row r="5374" spans="1:4" ht="12.95" customHeight="1" x14ac:dyDescent="0.25">
      <c r="A5374" s="2" t="s">
        <v>788</v>
      </c>
      <c r="B5374" s="2" t="s">
        <v>1154</v>
      </c>
      <c r="C5374" s="5" t="s">
        <v>1031</v>
      </c>
      <c r="D5374" s="2" t="s">
        <v>6109</v>
      </c>
    </row>
    <row r="5375" spans="1:4" ht="12.95" customHeight="1" x14ac:dyDescent="0.25">
      <c r="A5375" s="2" t="s">
        <v>788</v>
      </c>
      <c r="B5375" s="2" t="s">
        <v>1154</v>
      </c>
      <c r="C5375" s="5" t="s">
        <v>1033</v>
      </c>
      <c r="D5375" s="2" t="s">
        <v>6070</v>
      </c>
    </row>
    <row r="5376" spans="1:4" ht="12.95" customHeight="1" x14ac:dyDescent="0.25">
      <c r="A5376" s="2" t="s">
        <v>788</v>
      </c>
      <c r="B5376" s="2" t="s">
        <v>1154</v>
      </c>
      <c r="C5376" s="5" t="s">
        <v>1035</v>
      </c>
      <c r="D5376" s="2" t="s">
        <v>6087</v>
      </c>
    </row>
    <row r="5377" spans="1:4" ht="12.95" customHeight="1" x14ac:dyDescent="0.25">
      <c r="A5377" s="2" t="s">
        <v>788</v>
      </c>
      <c r="B5377" s="2" t="s">
        <v>1154</v>
      </c>
      <c r="C5377" s="5" t="s">
        <v>1177</v>
      </c>
      <c r="D5377" s="2" t="s">
        <v>6110</v>
      </c>
    </row>
    <row r="5378" spans="1:4" ht="12.95" customHeight="1" x14ac:dyDescent="0.25">
      <c r="A5378" s="2" t="s">
        <v>788</v>
      </c>
      <c r="B5378" s="2" t="s">
        <v>1154</v>
      </c>
      <c r="C5378" s="5" t="s">
        <v>1005</v>
      </c>
      <c r="D5378" s="2" t="s">
        <v>6088</v>
      </c>
    </row>
    <row r="5379" spans="1:4" ht="12.95" customHeight="1" x14ac:dyDescent="0.25">
      <c r="A5379" s="2" t="s">
        <v>791</v>
      </c>
      <c r="B5379" s="2" t="s">
        <v>1154</v>
      </c>
      <c r="C5379" s="5" t="s">
        <v>996</v>
      </c>
      <c r="D5379" s="2" t="s">
        <v>997</v>
      </c>
    </row>
    <row r="5380" spans="1:4" ht="12.95" customHeight="1" x14ac:dyDescent="0.25">
      <c r="A5380" s="2" t="s">
        <v>791</v>
      </c>
      <c r="B5380" s="2" t="s">
        <v>1154</v>
      </c>
      <c r="C5380" s="5" t="s">
        <v>982</v>
      </c>
      <c r="D5380" s="2" t="s">
        <v>983</v>
      </c>
    </row>
    <row r="5381" spans="1:4" ht="12.95" customHeight="1" x14ac:dyDescent="0.25">
      <c r="A5381" s="2" t="s">
        <v>794</v>
      </c>
      <c r="B5381" s="2" t="s">
        <v>1154</v>
      </c>
      <c r="C5381" s="5" t="s">
        <v>996</v>
      </c>
      <c r="D5381" s="2" t="s">
        <v>997</v>
      </c>
    </row>
    <row r="5382" spans="1:4" ht="12.95" customHeight="1" x14ac:dyDescent="0.25">
      <c r="A5382" s="2" t="s">
        <v>794</v>
      </c>
      <c r="B5382" s="2" t="s">
        <v>1154</v>
      </c>
      <c r="C5382" s="5" t="s">
        <v>982</v>
      </c>
      <c r="D5382" s="2" t="s">
        <v>983</v>
      </c>
    </row>
    <row r="5383" spans="1:4" ht="12.95" customHeight="1" x14ac:dyDescent="0.25">
      <c r="A5383" s="2" t="s">
        <v>796</v>
      </c>
      <c r="B5383" s="2" t="s">
        <v>1154</v>
      </c>
      <c r="C5383" s="5" t="s">
        <v>996</v>
      </c>
      <c r="D5383" s="2" t="s">
        <v>997</v>
      </c>
    </row>
    <row r="5384" spans="1:4" ht="12.95" customHeight="1" x14ac:dyDescent="0.25">
      <c r="A5384" s="2" t="s">
        <v>796</v>
      </c>
      <c r="B5384" s="2" t="s">
        <v>1154</v>
      </c>
      <c r="C5384" s="5" t="s">
        <v>978</v>
      </c>
      <c r="D5384" s="2" t="s">
        <v>1047</v>
      </c>
    </row>
    <row r="5385" spans="1:4" ht="12.95" customHeight="1" x14ac:dyDescent="0.25">
      <c r="A5385" s="2" t="s">
        <v>796</v>
      </c>
      <c r="B5385" s="2" t="s">
        <v>1154</v>
      </c>
      <c r="C5385" s="5" t="s">
        <v>980</v>
      </c>
      <c r="D5385" s="2" t="s">
        <v>1041</v>
      </c>
    </row>
    <row r="5386" spans="1:4" ht="12.95" customHeight="1" x14ac:dyDescent="0.25">
      <c r="A5386" s="2" t="s">
        <v>796</v>
      </c>
      <c r="B5386" s="2" t="s">
        <v>1154</v>
      </c>
      <c r="C5386" s="5" t="s">
        <v>982</v>
      </c>
      <c r="D5386" s="2" t="s">
        <v>983</v>
      </c>
    </row>
    <row r="5387" spans="1:4" ht="12.95" customHeight="1" x14ac:dyDescent="0.25">
      <c r="A5387" s="2" t="s">
        <v>799</v>
      </c>
      <c r="B5387" s="2" t="s">
        <v>1040</v>
      </c>
      <c r="C5387" s="5" t="s">
        <v>996</v>
      </c>
      <c r="D5387" s="2" t="s">
        <v>997</v>
      </c>
    </row>
    <row r="5388" spans="1:4" ht="12.95" customHeight="1" x14ac:dyDescent="0.25">
      <c r="A5388" s="2" t="s">
        <v>799</v>
      </c>
      <c r="B5388" s="2" t="s">
        <v>1040</v>
      </c>
      <c r="C5388" s="5" t="s">
        <v>984</v>
      </c>
      <c r="D5388" s="2" t="s">
        <v>6111</v>
      </c>
    </row>
    <row r="5389" spans="1:4" ht="12.95" customHeight="1" x14ac:dyDescent="0.25">
      <c r="A5389" s="2" t="s">
        <v>799</v>
      </c>
      <c r="B5389" s="2" t="s">
        <v>1040</v>
      </c>
      <c r="C5389" s="5" t="s">
        <v>986</v>
      </c>
      <c r="D5389" s="2" t="s">
        <v>6112</v>
      </c>
    </row>
    <row r="5390" spans="1:4" ht="12.95" customHeight="1" x14ac:dyDescent="0.25">
      <c r="A5390" s="2" t="s">
        <v>799</v>
      </c>
      <c r="B5390" s="2" t="s">
        <v>1040</v>
      </c>
      <c r="C5390" s="5" t="s">
        <v>988</v>
      </c>
      <c r="D5390" s="2" t="s">
        <v>6113</v>
      </c>
    </row>
    <row r="5391" spans="1:4" ht="12.95" customHeight="1" x14ac:dyDescent="0.25">
      <c r="A5391" s="2" t="s">
        <v>799</v>
      </c>
      <c r="B5391" s="2" t="s">
        <v>1040</v>
      </c>
      <c r="C5391" s="5" t="s">
        <v>990</v>
      </c>
      <c r="D5391" s="2" t="s">
        <v>6114</v>
      </c>
    </row>
    <row r="5392" spans="1:4" ht="12.95" customHeight="1" x14ac:dyDescent="0.25">
      <c r="A5392" s="2" t="s">
        <v>801</v>
      </c>
      <c r="B5392" s="2" t="s">
        <v>1040</v>
      </c>
      <c r="C5392" s="5" t="s">
        <v>996</v>
      </c>
      <c r="D5392" s="2" t="s">
        <v>997</v>
      </c>
    </row>
    <row r="5393" spans="1:4" ht="12.95" customHeight="1" x14ac:dyDescent="0.25">
      <c r="A5393" s="2" t="s">
        <v>801</v>
      </c>
      <c r="B5393" s="2" t="s">
        <v>1040</v>
      </c>
      <c r="C5393" s="5" t="s">
        <v>984</v>
      </c>
      <c r="D5393" s="2" t="s">
        <v>6115</v>
      </c>
    </row>
    <row r="5394" spans="1:4" ht="12.95" customHeight="1" x14ac:dyDescent="0.25">
      <c r="A5394" s="2" t="s">
        <v>801</v>
      </c>
      <c r="B5394" s="2" t="s">
        <v>1040</v>
      </c>
      <c r="C5394" s="5" t="s">
        <v>986</v>
      </c>
      <c r="D5394" s="2" t="s">
        <v>6116</v>
      </c>
    </row>
    <row r="5395" spans="1:4" ht="12.95" customHeight="1" x14ac:dyDescent="0.25">
      <c r="A5395" s="2" t="s">
        <v>801</v>
      </c>
      <c r="B5395" s="2" t="s">
        <v>1040</v>
      </c>
      <c r="C5395" s="5" t="s">
        <v>988</v>
      </c>
      <c r="D5395" s="2" t="s">
        <v>6117</v>
      </c>
    </row>
    <row r="5396" spans="1:4" ht="12.95" customHeight="1" x14ac:dyDescent="0.25">
      <c r="A5396" s="2" t="s">
        <v>801</v>
      </c>
      <c r="B5396" s="2" t="s">
        <v>1040</v>
      </c>
      <c r="C5396" s="5" t="s">
        <v>990</v>
      </c>
      <c r="D5396" s="2" t="s">
        <v>6118</v>
      </c>
    </row>
    <row r="5397" spans="1:4" ht="12.95" customHeight="1" x14ac:dyDescent="0.25">
      <c r="A5397" s="2" t="s">
        <v>801</v>
      </c>
      <c r="B5397" s="2" t="s">
        <v>1040</v>
      </c>
      <c r="C5397" s="5" t="s">
        <v>992</v>
      </c>
      <c r="D5397" s="2" t="s">
        <v>6119</v>
      </c>
    </row>
    <row r="5398" spans="1:4" ht="12.95" customHeight="1" x14ac:dyDescent="0.25">
      <c r="A5398" s="2" t="s">
        <v>801</v>
      </c>
      <c r="B5398" s="2" t="s">
        <v>1040</v>
      </c>
      <c r="C5398" s="5" t="s">
        <v>994</v>
      </c>
      <c r="D5398" s="2" t="s">
        <v>6120</v>
      </c>
    </row>
    <row r="5399" spans="1:4" ht="12.95" customHeight="1" x14ac:dyDescent="0.25">
      <c r="A5399" s="2" t="s">
        <v>803</v>
      </c>
      <c r="B5399" s="2" t="s">
        <v>1040</v>
      </c>
      <c r="C5399" s="5" t="s">
        <v>996</v>
      </c>
      <c r="D5399" s="2" t="s">
        <v>997</v>
      </c>
    </row>
    <row r="5400" spans="1:4" ht="12.95" customHeight="1" x14ac:dyDescent="0.25">
      <c r="A5400" s="2" t="s">
        <v>803</v>
      </c>
      <c r="B5400" s="2" t="s">
        <v>1040</v>
      </c>
      <c r="C5400" s="5" t="s">
        <v>984</v>
      </c>
      <c r="D5400" s="2" t="s">
        <v>6121</v>
      </c>
    </row>
    <row r="5401" spans="1:4" ht="12.95" customHeight="1" x14ac:dyDescent="0.25">
      <c r="A5401" s="2" t="s">
        <v>803</v>
      </c>
      <c r="B5401" s="2" t="s">
        <v>1040</v>
      </c>
      <c r="C5401" s="5" t="s">
        <v>986</v>
      </c>
      <c r="D5401" s="2" t="s">
        <v>6122</v>
      </c>
    </row>
    <row r="5402" spans="1:4" ht="12.95" customHeight="1" x14ac:dyDescent="0.25">
      <c r="A5402" s="2" t="s">
        <v>805</v>
      </c>
      <c r="B5402" s="2" t="s">
        <v>977</v>
      </c>
      <c r="C5402" s="5" t="s">
        <v>996</v>
      </c>
      <c r="D5402" s="2" t="s">
        <v>997</v>
      </c>
    </row>
    <row r="5403" spans="1:4" ht="12.95" customHeight="1" x14ac:dyDescent="0.25">
      <c r="A5403" s="2" t="s">
        <v>805</v>
      </c>
      <c r="B5403" s="2" t="s">
        <v>977</v>
      </c>
      <c r="C5403" s="5" t="s">
        <v>978</v>
      </c>
      <c r="D5403" s="2" t="s">
        <v>1047</v>
      </c>
    </row>
    <row r="5404" spans="1:4" ht="12.95" customHeight="1" x14ac:dyDescent="0.25">
      <c r="A5404" s="2" t="s">
        <v>805</v>
      </c>
      <c r="B5404" s="2" t="s">
        <v>977</v>
      </c>
      <c r="C5404" s="5" t="s">
        <v>980</v>
      </c>
      <c r="D5404" s="2" t="s">
        <v>1041</v>
      </c>
    </row>
    <row r="5405" spans="1:4" ht="12.95" customHeight="1" x14ac:dyDescent="0.25">
      <c r="A5405" s="2" t="s">
        <v>805</v>
      </c>
      <c r="B5405" s="2" t="s">
        <v>977</v>
      </c>
      <c r="C5405" s="5" t="s">
        <v>984</v>
      </c>
      <c r="D5405" s="2" t="s">
        <v>1061</v>
      </c>
    </row>
    <row r="5406" spans="1:4" ht="12.95" customHeight="1" x14ac:dyDescent="0.25">
      <c r="A5406" s="2" t="s">
        <v>805</v>
      </c>
      <c r="B5406" s="2" t="s">
        <v>977</v>
      </c>
      <c r="C5406" s="5" t="s">
        <v>986</v>
      </c>
      <c r="D5406" s="2" t="s">
        <v>1153</v>
      </c>
    </row>
    <row r="5407" spans="1:4" ht="12.95" customHeight="1" x14ac:dyDescent="0.25">
      <c r="A5407" s="2" t="s">
        <v>807</v>
      </c>
      <c r="B5407" s="2" t="s">
        <v>977</v>
      </c>
      <c r="C5407" s="5" t="s">
        <v>978</v>
      </c>
      <c r="D5407" s="2" t="s">
        <v>1047</v>
      </c>
    </row>
    <row r="5408" spans="1:4" ht="12.95" customHeight="1" x14ac:dyDescent="0.25">
      <c r="A5408" s="2" t="s">
        <v>807</v>
      </c>
      <c r="B5408" s="2" t="s">
        <v>977</v>
      </c>
      <c r="C5408" s="5" t="s">
        <v>980</v>
      </c>
      <c r="D5408" s="2" t="s">
        <v>1041</v>
      </c>
    </row>
    <row r="5409" spans="1:4" ht="12.95" customHeight="1" x14ac:dyDescent="0.25">
      <c r="A5409" s="2" t="s">
        <v>807</v>
      </c>
      <c r="B5409" s="2" t="s">
        <v>977</v>
      </c>
      <c r="C5409" s="5" t="s">
        <v>984</v>
      </c>
      <c r="D5409" s="2" t="s">
        <v>1061</v>
      </c>
    </row>
    <row r="5410" spans="1:4" ht="12.95" customHeight="1" x14ac:dyDescent="0.25">
      <c r="A5410" s="2" t="s">
        <v>807</v>
      </c>
      <c r="B5410" s="2" t="s">
        <v>977</v>
      </c>
      <c r="C5410" s="5" t="s">
        <v>986</v>
      </c>
      <c r="D5410" s="2" t="s">
        <v>1153</v>
      </c>
    </row>
    <row r="5411" spans="1:4" ht="12.95" customHeight="1" x14ac:dyDescent="0.25">
      <c r="A5411" s="2" t="s">
        <v>810</v>
      </c>
      <c r="B5411" s="2" t="s">
        <v>1007</v>
      </c>
      <c r="C5411" s="5" t="s">
        <v>978</v>
      </c>
      <c r="D5411" s="2" t="s">
        <v>979</v>
      </c>
    </row>
    <row r="5412" spans="1:4" ht="12.95" customHeight="1" x14ac:dyDescent="0.25">
      <c r="A5412" s="2" t="s">
        <v>810</v>
      </c>
      <c r="B5412" s="2" t="s">
        <v>1007</v>
      </c>
      <c r="C5412" s="5" t="s">
        <v>980</v>
      </c>
      <c r="D5412" s="2" t="s">
        <v>981</v>
      </c>
    </row>
    <row r="5413" spans="1:4" ht="12.95" customHeight="1" x14ac:dyDescent="0.25">
      <c r="A5413" s="2" t="s">
        <v>812</v>
      </c>
      <c r="B5413" s="2" t="s">
        <v>1007</v>
      </c>
      <c r="C5413" s="5" t="s">
        <v>996</v>
      </c>
      <c r="D5413" s="2" t="s">
        <v>997</v>
      </c>
    </row>
    <row r="5414" spans="1:4" ht="12.95" customHeight="1" x14ac:dyDescent="0.25">
      <c r="A5414" s="2" t="s">
        <v>812</v>
      </c>
      <c r="B5414" s="2" t="s">
        <v>1007</v>
      </c>
      <c r="C5414" s="5" t="s">
        <v>982</v>
      </c>
      <c r="D5414" s="2" t="s">
        <v>983</v>
      </c>
    </row>
    <row r="5415" spans="1:4" ht="12.95" customHeight="1" x14ac:dyDescent="0.25">
      <c r="A5415" s="2" t="s">
        <v>812</v>
      </c>
      <c r="B5415" s="2" t="s">
        <v>1007</v>
      </c>
      <c r="C5415" s="5" t="s">
        <v>984</v>
      </c>
      <c r="D5415" s="2" t="s">
        <v>6123</v>
      </c>
    </row>
    <row r="5416" spans="1:4" ht="12.95" customHeight="1" x14ac:dyDescent="0.25">
      <c r="A5416" s="2" t="s">
        <v>812</v>
      </c>
      <c r="B5416" s="2" t="s">
        <v>1154</v>
      </c>
      <c r="C5416" s="5" t="s">
        <v>986</v>
      </c>
      <c r="D5416" s="2" t="s">
        <v>6124</v>
      </c>
    </row>
    <row r="5417" spans="1:4" ht="12.95" customHeight="1" x14ac:dyDescent="0.25">
      <c r="A5417" s="2" t="s">
        <v>812</v>
      </c>
      <c r="B5417" s="2" t="s">
        <v>1154</v>
      </c>
      <c r="C5417" s="5" t="s">
        <v>988</v>
      </c>
      <c r="D5417" s="2" t="s">
        <v>6125</v>
      </c>
    </row>
    <row r="5418" spans="1:4" ht="12.95" customHeight="1" x14ac:dyDescent="0.25">
      <c r="A5418" s="2" t="s">
        <v>812</v>
      </c>
      <c r="B5418" s="2" t="s">
        <v>1007</v>
      </c>
      <c r="C5418" s="5" t="s">
        <v>990</v>
      </c>
      <c r="D5418" s="2" t="s">
        <v>6126</v>
      </c>
    </row>
    <row r="5419" spans="1:4" ht="12.95" customHeight="1" x14ac:dyDescent="0.25">
      <c r="A5419" s="2" t="s">
        <v>812</v>
      </c>
      <c r="B5419" s="2" t="s">
        <v>1154</v>
      </c>
      <c r="C5419" s="5" t="s">
        <v>992</v>
      </c>
      <c r="D5419" s="2" t="s">
        <v>6127</v>
      </c>
    </row>
    <row r="5420" spans="1:4" ht="12.95" customHeight="1" x14ac:dyDescent="0.25">
      <c r="A5420" s="2" t="s">
        <v>812</v>
      </c>
      <c r="B5420" s="2" t="s">
        <v>1154</v>
      </c>
      <c r="C5420" s="5" t="s">
        <v>994</v>
      </c>
      <c r="D5420" s="2" t="s">
        <v>6128</v>
      </c>
    </row>
    <row r="5421" spans="1:4" ht="12.95" customHeight="1" x14ac:dyDescent="0.25">
      <c r="A5421" s="2" t="s">
        <v>812</v>
      </c>
      <c r="B5421" s="2" t="s">
        <v>1154</v>
      </c>
      <c r="C5421" s="5" t="s">
        <v>1003</v>
      </c>
      <c r="D5421" s="2" t="s">
        <v>6129</v>
      </c>
    </row>
    <row r="5422" spans="1:4" ht="12.95" customHeight="1" x14ac:dyDescent="0.25">
      <c r="A5422" s="2" t="s">
        <v>812</v>
      </c>
      <c r="B5422" s="2" t="s">
        <v>1007</v>
      </c>
      <c r="C5422" s="5" t="s">
        <v>1013</v>
      </c>
      <c r="D5422" s="2" t="s">
        <v>6130</v>
      </c>
    </row>
    <row r="5423" spans="1:4" ht="12.95" customHeight="1" x14ac:dyDescent="0.25">
      <c r="A5423" s="2" t="s">
        <v>812</v>
      </c>
      <c r="B5423" s="2" t="s">
        <v>1007</v>
      </c>
      <c r="C5423" s="5" t="s">
        <v>1015</v>
      </c>
      <c r="D5423" s="2" t="s">
        <v>6131</v>
      </c>
    </row>
    <row r="5424" spans="1:4" ht="12.95" customHeight="1" x14ac:dyDescent="0.25">
      <c r="A5424" s="2" t="s">
        <v>812</v>
      </c>
      <c r="B5424" s="2" t="s">
        <v>1007</v>
      </c>
      <c r="C5424" s="5" t="s">
        <v>1017</v>
      </c>
      <c r="D5424" s="2" t="s">
        <v>6132</v>
      </c>
    </row>
    <row r="5425" spans="1:4" ht="12.95" customHeight="1" x14ac:dyDescent="0.25">
      <c r="A5425" s="2" t="s">
        <v>812</v>
      </c>
      <c r="B5425" s="2" t="s">
        <v>1007</v>
      </c>
      <c r="C5425" s="5" t="s">
        <v>1019</v>
      </c>
      <c r="D5425" s="2" t="s">
        <v>6133</v>
      </c>
    </row>
    <row r="5426" spans="1:4" ht="12.95" customHeight="1" x14ac:dyDescent="0.25">
      <c r="A5426" s="2" t="s">
        <v>812</v>
      </c>
      <c r="B5426" s="2" t="s">
        <v>1154</v>
      </c>
      <c r="C5426" s="5" t="s">
        <v>1021</v>
      </c>
      <c r="D5426" s="2" t="s">
        <v>6134</v>
      </c>
    </row>
    <row r="5427" spans="1:4" ht="12.95" customHeight="1" x14ac:dyDescent="0.25">
      <c r="A5427" s="2" t="s">
        <v>812</v>
      </c>
      <c r="B5427" s="2" t="s">
        <v>1007</v>
      </c>
      <c r="C5427" s="5" t="s">
        <v>1005</v>
      </c>
      <c r="D5427" s="2" t="s">
        <v>6135</v>
      </c>
    </row>
    <row r="5428" spans="1:4" ht="12.95" customHeight="1" x14ac:dyDescent="0.25">
      <c r="A5428" s="2" t="s">
        <v>815</v>
      </c>
      <c r="B5428" s="2" t="s">
        <v>1007</v>
      </c>
      <c r="C5428" s="5" t="s">
        <v>996</v>
      </c>
      <c r="D5428" s="2" t="s">
        <v>997</v>
      </c>
    </row>
    <row r="5429" spans="1:4" ht="12.95" customHeight="1" x14ac:dyDescent="0.25">
      <c r="A5429" s="2" t="s">
        <v>815</v>
      </c>
      <c r="B5429" s="2" t="s">
        <v>1007</v>
      </c>
      <c r="C5429" s="5" t="s">
        <v>978</v>
      </c>
      <c r="D5429" s="2" t="s">
        <v>979</v>
      </c>
    </row>
    <row r="5430" spans="1:4" ht="12.95" customHeight="1" x14ac:dyDescent="0.25">
      <c r="A5430" s="2" t="s">
        <v>815</v>
      </c>
      <c r="B5430" s="2" t="s">
        <v>1007</v>
      </c>
      <c r="C5430" s="5" t="s">
        <v>980</v>
      </c>
      <c r="D5430" s="2" t="s">
        <v>981</v>
      </c>
    </row>
    <row r="5431" spans="1:4" ht="12.95" customHeight="1" x14ac:dyDescent="0.25">
      <c r="A5431" s="2" t="s">
        <v>815</v>
      </c>
      <c r="B5431" s="2" t="s">
        <v>1007</v>
      </c>
      <c r="C5431" s="5" t="s">
        <v>982</v>
      </c>
      <c r="D5431" s="2" t="s">
        <v>983</v>
      </c>
    </row>
    <row r="5432" spans="1:4" ht="12.95" customHeight="1" x14ac:dyDescent="0.25">
      <c r="A5432" s="2" t="s">
        <v>815</v>
      </c>
      <c r="B5432" s="2" t="s">
        <v>1007</v>
      </c>
      <c r="C5432" s="5" t="s">
        <v>984</v>
      </c>
      <c r="D5432" s="2" t="s">
        <v>1163</v>
      </c>
    </row>
    <row r="5433" spans="1:4" ht="12.95" customHeight="1" x14ac:dyDescent="0.25">
      <c r="A5433" s="2" t="s">
        <v>815</v>
      </c>
      <c r="B5433" s="2" t="s">
        <v>1007</v>
      </c>
      <c r="C5433" s="5" t="s">
        <v>986</v>
      </c>
      <c r="D5433" s="2" t="s">
        <v>1164</v>
      </c>
    </row>
    <row r="5434" spans="1:4" ht="12.95" customHeight="1" x14ac:dyDescent="0.25">
      <c r="A5434" s="2" t="s">
        <v>815</v>
      </c>
      <c r="B5434" s="2" t="s">
        <v>1007</v>
      </c>
      <c r="C5434" s="5" t="s">
        <v>988</v>
      </c>
      <c r="D5434" s="2" t="s">
        <v>1165</v>
      </c>
    </row>
    <row r="5435" spans="1:4" ht="12.95" customHeight="1" x14ac:dyDescent="0.25">
      <c r="A5435" s="2" t="s">
        <v>815</v>
      </c>
      <c r="B5435" s="2" t="s">
        <v>1007</v>
      </c>
      <c r="C5435" s="5" t="s">
        <v>990</v>
      </c>
      <c r="D5435" s="2" t="s">
        <v>1166</v>
      </c>
    </row>
    <row r="5436" spans="1:4" ht="12.95" customHeight="1" x14ac:dyDescent="0.25">
      <c r="A5436" s="2" t="s">
        <v>815</v>
      </c>
      <c r="B5436" s="2" t="s">
        <v>1007</v>
      </c>
      <c r="C5436" s="5" t="s">
        <v>992</v>
      </c>
      <c r="D5436" s="2" t="s">
        <v>6136</v>
      </c>
    </row>
    <row r="5437" spans="1:4" ht="12.95" customHeight="1" x14ac:dyDescent="0.25">
      <c r="A5437" s="2" t="s">
        <v>817</v>
      </c>
      <c r="B5437" s="2" t="s">
        <v>1007</v>
      </c>
      <c r="C5437" s="5" t="s">
        <v>1168</v>
      </c>
      <c r="D5437" s="2" t="s">
        <v>1047</v>
      </c>
    </row>
    <row r="5438" spans="1:4" ht="12.95" customHeight="1" x14ac:dyDescent="0.25">
      <c r="A5438" s="2" t="s">
        <v>817</v>
      </c>
      <c r="B5438" s="2" t="s">
        <v>1007</v>
      </c>
      <c r="C5438" s="5" t="s">
        <v>1169</v>
      </c>
      <c r="D5438" s="2" t="s">
        <v>981</v>
      </c>
    </row>
    <row r="5439" spans="1:4" ht="12.95" customHeight="1" x14ac:dyDescent="0.25">
      <c r="A5439" s="2" t="s">
        <v>817</v>
      </c>
      <c r="B5439" s="2" t="s">
        <v>1007</v>
      </c>
      <c r="C5439" s="5" t="s">
        <v>996</v>
      </c>
      <c r="D5439" s="2" t="s">
        <v>997</v>
      </c>
    </row>
    <row r="5440" spans="1:4" ht="12.95" customHeight="1" x14ac:dyDescent="0.25">
      <c r="A5440" s="2" t="s">
        <v>817</v>
      </c>
      <c r="B5440" s="2" t="s">
        <v>1007</v>
      </c>
      <c r="C5440" s="5" t="s">
        <v>978</v>
      </c>
      <c r="D5440" s="2" t="s">
        <v>1047</v>
      </c>
    </row>
    <row r="5441" spans="1:4" ht="12.95" customHeight="1" x14ac:dyDescent="0.25">
      <c r="A5441" s="2" t="s">
        <v>817</v>
      </c>
      <c r="B5441" s="2" t="s">
        <v>1007</v>
      </c>
      <c r="C5441" s="5" t="s">
        <v>980</v>
      </c>
      <c r="D5441" s="2" t="s">
        <v>981</v>
      </c>
    </row>
    <row r="5442" spans="1:4" ht="12.95" customHeight="1" x14ac:dyDescent="0.25">
      <c r="A5442" s="2" t="s">
        <v>817</v>
      </c>
      <c r="B5442" s="2" t="s">
        <v>1007</v>
      </c>
      <c r="C5442" s="5" t="s">
        <v>982</v>
      </c>
      <c r="D5442" s="2" t="s">
        <v>983</v>
      </c>
    </row>
    <row r="5443" spans="1:4" ht="12.95" customHeight="1" x14ac:dyDescent="0.25">
      <c r="A5443" s="2" t="s">
        <v>820</v>
      </c>
      <c r="B5443" s="2" t="s">
        <v>1007</v>
      </c>
      <c r="C5443" s="5" t="s">
        <v>996</v>
      </c>
      <c r="D5443" s="2" t="s">
        <v>997</v>
      </c>
    </row>
    <row r="5444" spans="1:4" ht="12.95" customHeight="1" x14ac:dyDescent="0.25">
      <c r="A5444" s="2" t="s">
        <v>820</v>
      </c>
      <c r="B5444" s="2" t="s">
        <v>1007</v>
      </c>
      <c r="C5444" s="5" t="s">
        <v>978</v>
      </c>
      <c r="D5444" s="2" t="s">
        <v>1047</v>
      </c>
    </row>
    <row r="5445" spans="1:4" ht="12.95" customHeight="1" x14ac:dyDescent="0.25">
      <c r="A5445" s="2" t="s">
        <v>820</v>
      </c>
      <c r="B5445" s="2" t="s">
        <v>1007</v>
      </c>
      <c r="C5445" s="5" t="s">
        <v>980</v>
      </c>
      <c r="D5445" s="2" t="s">
        <v>1041</v>
      </c>
    </row>
    <row r="5446" spans="1:4" ht="12.95" customHeight="1" x14ac:dyDescent="0.25">
      <c r="A5446" s="2" t="s">
        <v>820</v>
      </c>
      <c r="B5446" s="2" t="s">
        <v>1007</v>
      </c>
      <c r="C5446" s="5" t="s">
        <v>984</v>
      </c>
      <c r="D5446" s="2" t="s">
        <v>1061</v>
      </c>
    </row>
    <row r="5447" spans="1:4" ht="12.95" customHeight="1" x14ac:dyDescent="0.25">
      <c r="A5447" s="2" t="s">
        <v>820</v>
      </c>
      <c r="B5447" s="2" t="s">
        <v>1007</v>
      </c>
      <c r="C5447" s="5" t="s">
        <v>986</v>
      </c>
      <c r="D5447" s="2" t="s">
        <v>1062</v>
      </c>
    </row>
    <row r="5448" spans="1:4" ht="12.95" customHeight="1" x14ac:dyDescent="0.25">
      <c r="A5448" s="2" t="s">
        <v>823</v>
      </c>
      <c r="B5448" s="2" t="s">
        <v>1007</v>
      </c>
      <c r="C5448" s="5" t="s">
        <v>996</v>
      </c>
      <c r="D5448" s="2" t="s">
        <v>997</v>
      </c>
    </row>
    <row r="5449" spans="1:4" ht="12.95" customHeight="1" x14ac:dyDescent="0.25">
      <c r="A5449" s="2" t="s">
        <v>823</v>
      </c>
      <c r="B5449" s="2" t="s">
        <v>1007</v>
      </c>
      <c r="C5449" s="5" t="s">
        <v>978</v>
      </c>
      <c r="D5449" s="2" t="s">
        <v>1047</v>
      </c>
    </row>
    <row r="5450" spans="1:4" ht="12.95" customHeight="1" x14ac:dyDescent="0.25">
      <c r="A5450" s="2" t="s">
        <v>823</v>
      </c>
      <c r="B5450" s="2" t="s">
        <v>1007</v>
      </c>
      <c r="C5450" s="5" t="s">
        <v>980</v>
      </c>
      <c r="D5450" s="2" t="s">
        <v>981</v>
      </c>
    </row>
    <row r="5451" spans="1:4" ht="12.95" customHeight="1" x14ac:dyDescent="0.25">
      <c r="A5451" s="2" t="s">
        <v>823</v>
      </c>
      <c r="B5451" s="2" t="s">
        <v>1007</v>
      </c>
      <c r="C5451" s="5" t="s">
        <v>982</v>
      </c>
      <c r="D5451" s="2" t="s">
        <v>983</v>
      </c>
    </row>
    <row r="5452" spans="1:4" ht="12.95" customHeight="1" x14ac:dyDescent="0.25">
      <c r="A5452" s="2" t="s">
        <v>826</v>
      </c>
      <c r="B5452" s="2" t="s">
        <v>1007</v>
      </c>
      <c r="C5452" s="5" t="s">
        <v>982</v>
      </c>
      <c r="D5452" s="2" t="s">
        <v>983</v>
      </c>
    </row>
    <row r="5453" spans="1:4" ht="12.95" customHeight="1" x14ac:dyDescent="0.25">
      <c r="A5453" s="2" t="s">
        <v>829</v>
      </c>
      <c r="B5453" s="2" t="s">
        <v>1007</v>
      </c>
      <c r="C5453" s="5" t="s">
        <v>978</v>
      </c>
      <c r="D5453" s="2" t="s">
        <v>1047</v>
      </c>
    </row>
    <row r="5454" spans="1:4" ht="12.95" customHeight="1" x14ac:dyDescent="0.25">
      <c r="A5454" s="2" t="s">
        <v>829</v>
      </c>
      <c r="B5454" s="2" t="s">
        <v>1007</v>
      </c>
      <c r="C5454" s="5" t="s">
        <v>980</v>
      </c>
      <c r="D5454" s="2" t="s">
        <v>1041</v>
      </c>
    </row>
    <row r="5455" spans="1:4" ht="12.95" customHeight="1" x14ac:dyDescent="0.25">
      <c r="A5455" s="2" t="s">
        <v>829</v>
      </c>
      <c r="B5455" s="2" t="s">
        <v>1007</v>
      </c>
      <c r="C5455" s="5" t="s">
        <v>984</v>
      </c>
      <c r="D5455" s="2" t="s">
        <v>6137</v>
      </c>
    </row>
    <row r="5456" spans="1:4" ht="12.95" customHeight="1" x14ac:dyDescent="0.25">
      <c r="A5456" s="2" t="s">
        <v>829</v>
      </c>
      <c r="B5456" s="2" t="s">
        <v>1007</v>
      </c>
      <c r="C5456" s="5" t="s">
        <v>986</v>
      </c>
      <c r="D5456" s="2" t="s">
        <v>6138</v>
      </c>
    </row>
    <row r="5457" spans="1:4" ht="12.95" customHeight="1" x14ac:dyDescent="0.25">
      <c r="A5457" s="2" t="s">
        <v>829</v>
      </c>
      <c r="B5457" s="2" t="s">
        <v>1007</v>
      </c>
      <c r="C5457" s="5" t="s">
        <v>988</v>
      </c>
      <c r="D5457" s="2" t="s">
        <v>6139</v>
      </c>
    </row>
    <row r="5458" spans="1:4" ht="12.95" customHeight="1" x14ac:dyDescent="0.25">
      <c r="A5458" s="2" t="s">
        <v>829</v>
      </c>
      <c r="B5458" s="2" t="s">
        <v>1007</v>
      </c>
      <c r="C5458" s="5" t="s">
        <v>990</v>
      </c>
      <c r="D5458" s="2" t="s">
        <v>6140</v>
      </c>
    </row>
    <row r="5459" spans="1:4" ht="12.95" customHeight="1" x14ac:dyDescent="0.25">
      <c r="A5459" s="2" t="s">
        <v>829</v>
      </c>
      <c r="B5459" s="2" t="s">
        <v>1007</v>
      </c>
      <c r="C5459" s="5" t="s">
        <v>992</v>
      </c>
      <c r="D5459" s="2" t="s">
        <v>6141</v>
      </c>
    </row>
    <row r="5460" spans="1:4" ht="12.95" customHeight="1" x14ac:dyDescent="0.25">
      <c r="A5460" s="2" t="s">
        <v>829</v>
      </c>
      <c r="B5460" s="2" t="s">
        <v>1007</v>
      </c>
      <c r="C5460" s="5" t="s">
        <v>994</v>
      </c>
      <c r="D5460" s="2" t="s">
        <v>6142</v>
      </c>
    </row>
    <row r="5461" spans="1:4" ht="12.95" customHeight="1" x14ac:dyDescent="0.25">
      <c r="A5461" s="2" t="s">
        <v>829</v>
      </c>
      <c r="B5461" s="2" t="s">
        <v>1007</v>
      </c>
      <c r="C5461" s="5" t="s">
        <v>1003</v>
      </c>
      <c r="D5461" s="2" t="s">
        <v>6143</v>
      </c>
    </row>
    <row r="5462" spans="1:4" ht="12.95" customHeight="1" x14ac:dyDescent="0.25">
      <c r="A5462" s="2" t="s">
        <v>829</v>
      </c>
      <c r="B5462" s="2" t="s">
        <v>1007</v>
      </c>
      <c r="C5462" s="5" t="s">
        <v>1005</v>
      </c>
      <c r="D5462" s="2" t="s">
        <v>6088</v>
      </c>
    </row>
    <row r="5463" spans="1:4" ht="12.95" customHeight="1" x14ac:dyDescent="0.25">
      <c r="A5463" s="2" t="s">
        <v>832</v>
      </c>
      <c r="B5463" s="2" t="s">
        <v>1007</v>
      </c>
      <c r="C5463" s="5" t="s">
        <v>978</v>
      </c>
      <c r="D5463" s="2" t="s">
        <v>979</v>
      </c>
    </row>
    <row r="5464" spans="1:4" ht="12.95" customHeight="1" x14ac:dyDescent="0.25">
      <c r="A5464" s="2" t="s">
        <v>832</v>
      </c>
      <c r="B5464" s="2" t="s">
        <v>1007</v>
      </c>
      <c r="C5464" s="5" t="s">
        <v>980</v>
      </c>
      <c r="D5464" s="2" t="s">
        <v>981</v>
      </c>
    </row>
    <row r="5465" spans="1:4" ht="12.95" customHeight="1" x14ac:dyDescent="0.25">
      <c r="A5465" s="2" t="s">
        <v>835</v>
      </c>
      <c r="B5465" s="2" t="s">
        <v>1007</v>
      </c>
      <c r="C5465" s="5" t="s">
        <v>996</v>
      </c>
      <c r="D5465" s="2" t="s">
        <v>997</v>
      </c>
    </row>
    <row r="5466" spans="1:4" ht="12.95" customHeight="1" x14ac:dyDescent="0.25">
      <c r="A5466" s="2" t="s">
        <v>835</v>
      </c>
      <c r="B5466" s="2" t="s">
        <v>1007</v>
      </c>
      <c r="C5466" s="5" t="s">
        <v>978</v>
      </c>
      <c r="D5466" s="2" t="s">
        <v>1047</v>
      </c>
    </row>
    <row r="5467" spans="1:4" ht="12.95" customHeight="1" x14ac:dyDescent="0.25">
      <c r="A5467" s="2" t="s">
        <v>835</v>
      </c>
      <c r="B5467" s="2" t="s">
        <v>1007</v>
      </c>
      <c r="C5467" s="5" t="s">
        <v>980</v>
      </c>
      <c r="D5467" s="2" t="s">
        <v>1041</v>
      </c>
    </row>
    <row r="5468" spans="1:4" ht="12.95" customHeight="1" x14ac:dyDescent="0.25">
      <c r="A5468" s="2" t="s">
        <v>835</v>
      </c>
      <c r="B5468" s="2" t="s">
        <v>1007</v>
      </c>
      <c r="C5468" s="5" t="s">
        <v>982</v>
      </c>
      <c r="D5468" s="2" t="s">
        <v>983</v>
      </c>
    </row>
    <row r="5469" spans="1:4" ht="12.95" customHeight="1" x14ac:dyDescent="0.25">
      <c r="A5469" s="2" t="s">
        <v>835</v>
      </c>
      <c r="B5469" s="2" t="s">
        <v>1007</v>
      </c>
      <c r="C5469" s="5" t="s">
        <v>984</v>
      </c>
      <c r="D5469" s="2" t="s">
        <v>1061</v>
      </c>
    </row>
    <row r="5470" spans="1:4" ht="12.95" customHeight="1" x14ac:dyDescent="0.25">
      <c r="A5470" s="2" t="s">
        <v>835</v>
      </c>
      <c r="B5470" s="2" t="s">
        <v>1007</v>
      </c>
      <c r="C5470" s="5" t="s">
        <v>986</v>
      </c>
      <c r="D5470" s="2" t="s">
        <v>1062</v>
      </c>
    </row>
    <row r="5471" spans="1:4" ht="12.95" customHeight="1" x14ac:dyDescent="0.25">
      <c r="A5471" s="2" t="s">
        <v>838</v>
      </c>
      <c r="B5471" s="2" t="s">
        <v>1007</v>
      </c>
      <c r="C5471" s="5" t="s">
        <v>996</v>
      </c>
      <c r="D5471" s="2" t="s">
        <v>997</v>
      </c>
    </row>
    <row r="5472" spans="1:4" ht="12.95" customHeight="1" x14ac:dyDescent="0.25">
      <c r="A5472" s="2" t="s">
        <v>838</v>
      </c>
      <c r="B5472" s="2" t="s">
        <v>1007</v>
      </c>
      <c r="C5472" s="5" t="s">
        <v>978</v>
      </c>
      <c r="D5472" s="2" t="s">
        <v>1047</v>
      </c>
    </row>
    <row r="5473" spans="1:4" ht="12.95" customHeight="1" x14ac:dyDescent="0.25">
      <c r="A5473" s="2" t="s">
        <v>838</v>
      </c>
      <c r="B5473" s="2" t="s">
        <v>1007</v>
      </c>
      <c r="C5473" s="5" t="s">
        <v>980</v>
      </c>
      <c r="D5473" s="2" t="s">
        <v>1041</v>
      </c>
    </row>
    <row r="5474" spans="1:4" ht="12.95" customHeight="1" x14ac:dyDescent="0.25">
      <c r="A5474" s="2" t="s">
        <v>838</v>
      </c>
      <c r="B5474" s="2" t="s">
        <v>1007</v>
      </c>
      <c r="C5474" s="5" t="s">
        <v>982</v>
      </c>
      <c r="D5474" s="2" t="s">
        <v>983</v>
      </c>
    </row>
    <row r="5475" spans="1:4" ht="12.95" customHeight="1" x14ac:dyDescent="0.25">
      <c r="A5475" s="2" t="s">
        <v>838</v>
      </c>
      <c r="B5475" s="2" t="s">
        <v>1007</v>
      </c>
      <c r="C5475" s="5" t="s">
        <v>984</v>
      </c>
      <c r="D5475" s="2" t="s">
        <v>1061</v>
      </c>
    </row>
    <row r="5476" spans="1:4" ht="12.95" customHeight="1" x14ac:dyDescent="0.25">
      <c r="A5476" s="2" t="s">
        <v>838</v>
      </c>
      <c r="B5476" s="2" t="s">
        <v>1007</v>
      </c>
      <c r="C5476" s="5" t="s">
        <v>986</v>
      </c>
      <c r="D5476" s="2" t="s">
        <v>1062</v>
      </c>
    </row>
    <row r="5477" spans="1:4" ht="12.95" customHeight="1" x14ac:dyDescent="0.25">
      <c r="A5477" s="2" t="s">
        <v>841</v>
      </c>
      <c r="B5477" s="2" t="s">
        <v>977</v>
      </c>
      <c r="C5477" s="5" t="s">
        <v>996</v>
      </c>
      <c r="D5477" s="2" t="s">
        <v>997</v>
      </c>
    </row>
    <row r="5478" spans="1:4" ht="12.95" customHeight="1" x14ac:dyDescent="0.25">
      <c r="A5478" s="2" t="s">
        <v>841</v>
      </c>
      <c r="B5478" s="2" t="s">
        <v>977</v>
      </c>
      <c r="C5478" s="5" t="s">
        <v>978</v>
      </c>
      <c r="D5478" s="2" t="s">
        <v>1047</v>
      </c>
    </row>
    <row r="5479" spans="1:4" ht="12.95" customHeight="1" x14ac:dyDescent="0.25">
      <c r="A5479" s="2" t="s">
        <v>841</v>
      </c>
      <c r="B5479" s="2" t="s">
        <v>977</v>
      </c>
      <c r="C5479" s="5" t="s">
        <v>980</v>
      </c>
      <c r="D5479" s="2" t="s">
        <v>1041</v>
      </c>
    </row>
    <row r="5480" spans="1:4" ht="12.95" customHeight="1" x14ac:dyDescent="0.25">
      <c r="A5480" s="2" t="s">
        <v>841</v>
      </c>
      <c r="B5480" s="2" t="s">
        <v>977</v>
      </c>
      <c r="C5480" s="5" t="s">
        <v>982</v>
      </c>
      <c r="D5480" s="2" t="s">
        <v>983</v>
      </c>
    </row>
    <row r="5481" spans="1:4" ht="12.95" customHeight="1" x14ac:dyDescent="0.25">
      <c r="A5481" s="2" t="s">
        <v>841</v>
      </c>
      <c r="B5481" s="2" t="s">
        <v>977</v>
      </c>
      <c r="C5481" s="5" t="s">
        <v>984</v>
      </c>
      <c r="D5481" s="2" t="s">
        <v>1061</v>
      </c>
    </row>
    <row r="5482" spans="1:4" ht="12.95" customHeight="1" x14ac:dyDescent="0.25">
      <c r="A5482" s="2" t="s">
        <v>841</v>
      </c>
      <c r="B5482" s="2" t="s">
        <v>977</v>
      </c>
      <c r="C5482" s="5" t="s">
        <v>986</v>
      </c>
      <c r="D5482" s="2" t="s">
        <v>1062</v>
      </c>
    </row>
    <row r="5483" spans="1:4" ht="12.95" customHeight="1" x14ac:dyDescent="0.25">
      <c r="A5483" s="2" t="s">
        <v>844</v>
      </c>
      <c r="B5483" s="2" t="s">
        <v>1154</v>
      </c>
      <c r="C5483" s="5" t="s">
        <v>982</v>
      </c>
      <c r="D5483" s="2" t="s">
        <v>983</v>
      </c>
    </row>
    <row r="5484" spans="1:4" ht="12.95" customHeight="1" x14ac:dyDescent="0.25">
      <c r="A5484" s="2" t="s">
        <v>846</v>
      </c>
      <c r="B5484" s="2" t="s">
        <v>1154</v>
      </c>
      <c r="C5484" s="5" t="s">
        <v>982</v>
      </c>
      <c r="D5484" s="2" t="s">
        <v>983</v>
      </c>
    </row>
    <row r="5485" spans="1:4" ht="12.95" customHeight="1" x14ac:dyDescent="0.25">
      <c r="A5485" s="2" t="s">
        <v>848</v>
      </c>
      <c r="B5485" s="2" t="s">
        <v>977</v>
      </c>
      <c r="C5485" s="5" t="s">
        <v>978</v>
      </c>
      <c r="D5485" s="2" t="s">
        <v>1047</v>
      </c>
    </row>
    <row r="5486" spans="1:4" ht="12.95" customHeight="1" x14ac:dyDescent="0.25">
      <c r="A5486" s="2" t="s">
        <v>848</v>
      </c>
      <c r="B5486" s="2" t="s">
        <v>977</v>
      </c>
      <c r="C5486" s="5" t="s">
        <v>980</v>
      </c>
      <c r="D5486" s="2" t="s">
        <v>1041</v>
      </c>
    </row>
    <row r="5487" spans="1:4" ht="12.95" customHeight="1" x14ac:dyDescent="0.25">
      <c r="A5487" s="2" t="s">
        <v>848</v>
      </c>
      <c r="B5487" s="2" t="s">
        <v>977</v>
      </c>
      <c r="C5487" s="5" t="s">
        <v>982</v>
      </c>
      <c r="D5487" s="2" t="s">
        <v>983</v>
      </c>
    </row>
    <row r="5488" spans="1:4" ht="12.95" customHeight="1" x14ac:dyDescent="0.25">
      <c r="A5488" s="2" t="s">
        <v>851</v>
      </c>
      <c r="B5488" s="2" t="s">
        <v>1040</v>
      </c>
      <c r="C5488" s="5" t="s">
        <v>978</v>
      </c>
      <c r="D5488" s="2" t="s">
        <v>979</v>
      </c>
    </row>
    <row r="5489" spans="1:4" ht="12.95" customHeight="1" x14ac:dyDescent="0.25">
      <c r="A5489" s="2" t="s">
        <v>851</v>
      </c>
      <c r="B5489" s="2" t="s">
        <v>1040</v>
      </c>
      <c r="C5489" s="5" t="s">
        <v>980</v>
      </c>
      <c r="D5489" s="2" t="s">
        <v>981</v>
      </c>
    </row>
    <row r="5490" spans="1:4" ht="12.95" customHeight="1" x14ac:dyDescent="0.25">
      <c r="A5490" s="2" t="s">
        <v>851</v>
      </c>
      <c r="B5490" s="2" t="s">
        <v>1040</v>
      </c>
      <c r="C5490" s="5" t="s">
        <v>982</v>
      </c>
      <c r="D5490" s="2" t="s">
        <v>983</v>
      </c>
    </row>
    <row r="5491" spans="1:4" ht="12.95" customHeight="1" x14ac:dyDescent="0.25">
      <c r="A5491" s="2" t="s">
        <v>851</v>
      </c>
      <c r="B5491" s="2" t="s">
        <v>1040</v>
      </c>
      <c r="C5491" s="5" t="s">
        <v>984</v>
      </c>
      <c r="D5491" s="2" t="s">
        <v>1042</v>
      </c>
    </row>
    <row r="5492" spans="1:4" ht="12.95" customHeight="1" x14ac:dyDescent="0.25">
      <c r="A5492" s="2" t="s">
        <v>851</v>
      </c>
      <c r="B5492" s="2" t="s">
        <v>1040</v>
      </c>
      <c r="C5492" s="5" t="s">
        <v>986</v>
      </c>
      <c r="D5492" s="2" t="s">
        <v>1064</v>
      </c>
    </row>
    <row r="5493" spans="1:4" ht="12.95" customHeight="1" x14ac:dyDescent="0.25">
      <c r="A5493" s="2" t="s">
        <v>851</v>
      </c>
      <c r="B5493" s="2" t="s">
        <v>1040</v>
      </c>
      <c r="C5493" s="5" t="s">
        <v>988</v>
      </c>
      <c r="D5493" s="2" t="s">
        <v>1044</v>
      </c>
    </row>
    <row r="5494" spans="1:4" ht="12.95" customHeight="1" x14ac:dyDescent="0.25">
      <c r="A5494" s="2" t="s">
        <v>851</v>
      </c>
      <c r="B5494" s="2" t="s">
        <v>1040</v>
      </c>
      <c r="C5494" s="5" t="s">
        <v>990</v>
      </c>
      <c r="D5494" s="2" t="s">
        <v>1045</v>
      </c>
    </row>
    <row r="5495" spans="1:4" ht="12.95" customHeight="1" x14ac:dyDescent="0.25">
      <c r="A5495" s="2" t="s">
        <v>851</v>
      </c>
      <c r="B5495" s="2" t="s">
        <v>1040</v>
      </c>
      <c r="C5495" s="5" t="s">
        <v>992</v>
      </c>
      <c r="D5495" s="2" t="s">
        <v>1046</v>
      </c>
    </row>
    <row r="5496" spans="1:4" ht="12.95" customHeight="1" x14ac:dyDescent="0.25">
      <c r="A5496" s="2" t="s">
        <v>854</v>
      </c>
      <c r="B5496" s="2" t="s">
        <v>1040</v>
      </c>
      <c r="C5496" s="5" t="s">
        <v>978</v>
      </c>
      <c r="D5496" s="2" t="s">
        <v>1047</v>
      </c>
    </row>
    <row r="5497" spans="1:4" ht="12.95" customHeight="1" x14ac:dyDescent="0.25">
      <c r="A5497" s="2" t="s">
        <v>854</v>
      </c>
      <c r="B5497" s="2" t="s">
        <v>1040</v>
      </c>
      <c r="C5497" s="5" t="s">
        <v>980</v>
      </c>
      <c r="D5497" s="2" t="s">
        <v>981</v>
      </c>
    </row>
    <row r="5498" spans="1:4" ht="12.95" customHeight="1" x14ac:dyDescent="0.25">
      <c r="A5498" s="2" t="s">
        <v>854</v>
      </c>
      <c r="B5498" s="2" t="s">
        <v>1040</v>
      </c>
      <c r="C5498" s="5" t="s">
        <v>982</v>
      </c>
      <c r="D5498" s="2" t="s">
        <v>983</v>
      </c>
    </row>
    <row r="5499" spans="1:4" ht="12.95" customHeight="1" x14ac:dyDescent="0.25">
      <c r="A5499" s="2" t="s">
        <v>854</v>
      </c>
      <c r="B5499" s="2" t="s">
        <v>1040</v>
      </c>
      <c r="C5499" s="5" t="s">
        <v>984</v>
      </c>
      <c r="D5499" s="2" t="s">
        <v>1048</v>
      </c>
    </row>
    <row r="5500" spans="1:4" ht="12.95" customHeight="1" x14ac:dyDescent="0.25">
      <c r="A5500" s="2" t="s">
        <v>854</v>
      </c>
      <c r="B5500" s="2" t="s">
        <v>1040</v>
      </c>
      <c r="C5500" s="5" t="s">
        <v>986</v>
      </c>
      <c r="D5500" s="2" t="s">
        <v>1049</v>
      </c>
    </row>
    <row r="5501" spans="1:4" ht="12.95" customHeight="1" x14ac:dyDescent="0.25">
      <c r="A5501" s="2" t="s">
        <v>854</v>
      </c>
      <c r="B5501" s="2" t="s">
        <v>1040</v>
      </c>
      <c r="C5501" s="5" t="s">
        <v>988</v>
      </c>
      <c r="D5501" s="2" t="s">
        <v>6144</v>
      </c>
    </row>
    <row r="5502" spans="1:4" ht="12.95" customHeight="1" x14ac:dyDescent="0.25">
      <c r="A5502" s="2" t="s">
        <v>854</v>
      </c>
      <c r="B5502" s="2" t="s">
        <v>1040</v>
      </c>
      <c r="C5502" s="5" t="s">
        <v>990</v>
      </c>
      <c r="D5502" s="2" t="s">
        <v>1051</v>
      </c>
    </row>
    <row r="5503" spans="1:4" ht="12.95" customHeight="1" x14ac:dyDescent="0.25">
      <c r="A5503" s="2" t="s">
        <v>854</v>
      </c>
      <c r="B5503" s="2" t="s">
        <v>1040</v>
      </c>
      <c r="C5503" s="5" t="s">
        <v>992</v>
      </c>
      <c r="D5503" s="2" t="s">
        <v>1052</v>
      </c>
    </row>
    <row r="5504" spans="1:4" ht="12.95" customHeight="1" x14ac:dyDescent="0.25">
      <c r="A5504" s="2" t="s">
        <v>857</v>
      </c>
      <c r="B5504" s="2" t="s">
        <v>977</v>
      </c>
      <c r="C5504" s="5" t="s">
        <v>996</v>
      </c>
      <c r="D5504" s="2" t="s">
        <v>997</v>
      </c>
    </row>
    <row r="5505" spans="1:4" ht="12.95" customHeight="1" x14ac:dyDescent="0.25">
      <c r="A5505" s="2" t="s">
        <v>857</v>
      </c>
      <c r="B5505" s="2" t="s">
        <v>977</v>
      </c>
      <c r="C5505" s="5" t="s">
        <v>978</v>
      </c>
      <c r="D5505" s="2" t="s">
        <v>1047</v>
      </c>
    </row>
    <row r="5506" spans="1:4" ht="12.95" customHeight="1" x14ac:dyDescent="0.25">
      <c r="A5506" s="2" t="s">
        <v>857</v>
      </c>
      <c r="B5506" s="2" t="s">
        <v>977</v>
      </c>
      <c r="C5506" s="5" t="s">
        <v>980</v>
      </c>
      <c r="D5506" s="2" t="s">
        <v>981</v>
      </c>
    </row>
    <row r="5507" spans="1:4" ht="12.95" customHeight="1" x14ac:dyDescent="0.25">
      <c r="A5507" s="2" t="s">
        <v>857</v>
      </c>
      <c r="B5507" s="2" t="s">
        <v>977</v>
      </c>
      <c r="C5507" s="5" t="s">
        <v>982</v>
      </c>
      <c r="D5507" s="2" t="s">
        <v>983</v>
      </c>
    </row>
    <row r="5508" spans="1:4" ht="12.95" customHeight="1" x14ac:dyDescent="0.25">
      <c r="A5508" s="2" t="s">
        <v>860</v>
      </c>
      <c r="B5508" s="2" t="s">
        <v>977</v>
      </c>
      <c r="C5508" s="5" t="s">
        <v>996</v>
      </c>
      <c r="D5508" s="2" t="s">
        <v>997</v>
      </c>
    </row>
    <row r="5509" spans="1:4" ht="12.95" customHeight="1" x14ac:dyDescent="0.25">
      <c r="A5509" s="2" t="s">
        <v>860</v>
      </c>
      <c r="B5509" s="2" t="s">
        <v>977</v>
      </c>
      <c r="C5509" s="5" t="s">
        <v>978</v>
      </c>
      <c r="D5509" s="2" t="s">
        <v>1047</v>
      </c>
    </row>
    <row r="5510" spans="1:4" ht="12.95" customHeight="1" x14ac:dyDescent="0.25">
      <c r="A5510" s="2" t="s">
        <v>860</v>
      </c>
      <c r="B5510" s="2" t="s">
        <v>977</v>
      </c>
      <c r="C5510" s="5" t="s">
        <v>980</v>
      </c>
      <c r="D5510" s="2" t="s">
        <v>981</v>
      </c>
    </row>
    <row r="5511" spans="1:4" ht="12.95" customHeight="1" x14ac:dyDescent="0.25">
      <c r="A5511" s="2" t="s">
        <v>860</v>
      </c>
      <c r="B5511" s="2" t="s">
        <v>977</v>
      </c>
      <c r="C5511" s="5" t="s">
        <v>982</v>
      </c>
      <c r="D5511" s="2" t="s">
        <v>983</v>
      </c>
    </row>
    <row r="5512" spans="1:4" ht="12.95" customHeight="1" x14ac:dyDescent="0.25">
      <c r="A5512" s="2" t="s">
        <v>860</v>
      </c>
      <c r="B5512" s="2" t="s">
        <v>977</v>
      </c>
      <c r="C5512" s="5" t="s">
        <v>984</v>
      </c>
      <c r="D5512" s="2" t="s">
        <v>1053</v>
      </c>
    </row>
    <row r="5513" spans="1:4" ht="12.95" customHeight="1" x14ac:dyDescent="0.25">
      <c r="A5513" s="2" t="s">
        <v>860</v>
      </c>
      <c r="B5513" s="2" t="s">
        <v>977</v>
      </c>
      <c r="C5513" s="5" t="s">
        <v>986</v>
      </c>
      <c r="D5513" s="2" t="s">
        <v>1054</v>
      </c>
    </row>
    <row r="5514" spans="1:4" ht="12.95" customHeight="1" x14ac:dyDescent="0.25">
      <c r="A5514" s="2" t="s">
        <v>860</v>
      </c>
      <c r="B5514" s="2" t="s">
        <v>977</v>
      </c>
      <c r="C5514" s="5" t="s">
        <v>988</v>
      </c>
      <c r="D5514" s="2" t="s">
        <v>1055</v>
      </c>
    </row>
    <row r="5515" spans="1:4" ht="12.95" customHeight="1" x14ac:dyDescent="0.25">
      <c r="A5515" s="2" t="s">
        <v>860</v>
      </c>
      <c r="B5515" s="2" t="s">
        <v>977</v>
      </c>
      <c r="C5515" s="5" t="s">
        <v>990</v>
      </c>
      <c r="D5515" s="2" t="s">
        <v>6145</v>
      </c>
    </row>
    <row r="5516" spans="1:4" ht="12.95" customHeight="1" x14ac:dyDescent="0.25">
      <c r="A5516" s="2" t="s">
        <v>860</v>
      </c>
      <c r="B5516" s="2" t="s">
        <v>977</v>
      </c>
      <c r="C5516" s="5" t="s">
        <v>992</v>
      </c>
      <c r="D5516" s="2" t="s">
        <v>1057</v>
      </c>
    </row>
    <row r="5517" spans="1:4" ht="12.95" customHeight="1" x14ac:dyDescent="0.25">
      <c r="A5517" s="2" t="s">
        <v>860</v>
      </c>
      <c r="B5517" s="2" t="s">
        <v>977</v>
      </c>
      <c r="C5517" s="5" t="s">
        <v>994</v>
      </c>
      <c r="D5517" s="2" t="s">
        <v>1058</v>
      </c>
    </row>
    <row r="5518" spans="1:4" ht="12.95" customHeight="1" x14ac:dyDescent="0.25">
      <c r="A5518" s="2" t="s">
        <v>860</v>
      </c>
      <c r="B5518" s="2" t="s">
        <v>977</v>
      </c>
      <c r="C5518" s="5" t="s">
        <v>1003</v>
      </c>
      <c r="D5518" s="2" t="s">
        <v>1059</v>
      </c>
    </row>
    <row r="5519" spans="1:4" ht="12.95" customHeight="1" x14ac:dyDescent="0.25">
      <c r="A5519" s="2" t="s">
        <v>863</v>
      </c>
      <c r="B5519" s="2" t="s">
        <v>977</v>
      </c>
      <c r="C5519" s="5" t="s">
        <v>996</v>
      </c>
      <c r="D5519" s="2" t="s">
        <v>997</v>
      </c>
    </row>
    <row r="5520" spans="1:4" ht="12.95" customHeight="1" x14ac:dyDescent="0.25">
      <c r="A5520" s="2" t="s">
        <v>863</v>
      </c>
      <c r="B5520" s="2" t="s">
        <v>977</v>
      </c>
      <c r="C5520" s="5" t="s">
        <v>978</v>
      </c>
      <c r="D5520" s="2" t="s">
        <v>1047</v>
      </c>
    </row>
    <row r="5521" spans="1:4" ht="12.95" customHeight="1" x14ac:dyDescent="0.25">
      <c r="A5521" s="2" t="s">
        <v>863</v>
      </c>
      <c r="B5521" s="2" t="s">
        <v>977</v>
      </c>
      <c r="C5521" s="5" t="s">
        <v>980</v>
      </c>
      <c r="D5521" s="2" t="s">
        <v>981</v>
      </c>
    </row>
    <row r="5522" spans="1:4" ht="12.95" customHeight="1" x14ac:dyDescent="0.25">
      <c r="A5522" s="2" t="s">
        <v>863</v>
      </c>
      <c r="B5522" s="2" t="s">
        <v>977</v>
      </c>
      <c r="C5522" s="5" t="s">
        <v>982</v>
      </c>
      <c r="D5522" s="2" t="s">
        <v>983</v>
      </c>
    </row>
    <row r="5523" spans="1:4" ht="12.95" customHeight="1" x14ac:dyDescent="0.25">
      <c r="A5523" s="2" t="s">
        <v>863</v>
      </c>
      <c r="B5523" s="2" t="s">
        <v>977</v>
      </c>
      <c r="C5523" s="5" t="s">
        <v>984</v>
      </c>
      <c r="D5523" s="2" t="s">
        <v>1053</v>
      </c>
    </row>
    <row r="5524" spans="1:4" ht="12.95" customHeight="1" x14ac:dyDescent="0.25">
      <c r="A5524" s="2" t="s">
        <v>863</v>
      </c>
      <c r="B5524" s="2" t="s">
        <v>977</v>
      </c>
      <c r="C5524" s="5" t="s">
        <v>986</v>
      </c>
      <c r="D5524" s="2" t="s">
        <v>1054</v>
      </c>
    </row>
    <row r="5525" spans="1:4" ht="12.95" customHeight="1" x14ac:dyDescent="0.25">
      <c r="A5525" s="2" t="s">
        <v>863</v>
      </c>
      <c r="B5525" s="2" t="s">
        <v>977</v>
      </c>
      <c r="C5525" s="5" t="s">
        <v>988</v>
      </c>
      <c r="D5525" s="2" t="s">
        <v>1055</v>
      </c>
    </row>
    <row r="5526" spans="1:4" ht="12.95" customHeight="1" x14ac:dyDescent="0.25">
      <c r="A5526" s="2" t="s">
        <v>863</v>
      </c>
      <c r="B5526" s="2" t="s">
        <v>977</v>
      </c>
      <c r="C5526" s="5" t="s">
        <v>990</v>
      </c>
      <c r="D5526" s="2" t="s">
        <v>6145</v>
      </c>
    </row>
    <row r="5527" spans="1:4" ht="12.95" customHeight="1" x14ac:dyDescent="0.25">
      <c r="A5527" s="2" t="s">
        <v>863</v>
      </c>
      <c r="B5527" s="2" t="s">
        <v>977</v>
      </c>
      <c r="C5527" s="5" t="s">
        <v>992</v>
      </c>
      <c r="D5527" s="2" t="s">
        <v>1057</v>
      </c>
    </row>
    <row r="5528" spans="1:4" ht="12.95" customHeight="1" x14ac:dyDescent="0.25">
      <c r="A5528" s="2" t="s">
        <v>863</v>
      </c>
      <c r="B5528" s="2" t="s">
        <v>977</v>
      </c>
      <c r="C5528" s="5" t="s">
        <v>994</v>
      </c>
      <c r="D5528" s="2" t="s">
        <v>1058</v>
      </c>
    </row>
    <row r="5529" spans="1:4" ht="12.95" customHeight="1" x14ac:dyDescent="0.25">
      <c r="A5529" s="2" t="s">
        <v>863</v>
      </c>
      <c r="B5529" s="2" t="s">
        <v>977</v>
      </c>
      <c r="C5529" s="5" t="s">
        <v>1003</v>
      </c>
      <c r="D5529" s="2" t="s">
        <v>1059</v>
      </c>
    </row>
    <row r="5530" spans="1:4" ht="12.95" customHeight="1" x14ac:dyDescent="0.25">
      <c r="A5530" s="2" t="s">
        <v>865</v>
      </c>
      <c r="B5530" s="2" t="s">
        <v>977</v>
      </c>
      <c r="C5530" s="5" t="s">
        <v>996</v>
      </c>
      <c r="D5530" s="2" t="s">
        <v>997</v>
      </c>
    </row>
    <row r="5531" spans="1:4" ht="12.95" customHeight="1" x14ac:dyDescent="0.25">
      <c r="A5531" s="2" t="s">
        <v>865</v>
      </c>
      <c r="B5531" s="2" t="s">
        <v>977</v>
      </c>
      <c r="C5531" s="5" t="s">
        <v>978</v>
      </c>
      <c r="D5531" s="2" t="s">
        <v>1047</v>
      </c>
    </row>
    <row r="5532" spans="1:4" ht="12.95" customHeight="1" x14ac:dyDescent="0.25">
      <c r="A5532" s="2" t="s">
        <v>865</v>
      </c>
      <c r="B5532" s="2" t="s">
        <v>977</v>
      </c>
      <c r="C5532" s="5" t="s">
        <v>980</v>
      </c>
      <c r="D5532" s="2" t="s">
        <v>981</v>
      </c>
    </row>
    <row r="5533" spans="1:4" ht="12.95" customHeight="1" x14ac:dyDescent="0.25">
      <c r="A5533" s="2" t="s">
        <v>865</v>
      </c>
      <c r="B5533" s="2" t="s">
        <v>977</v>
      </c>
      <c r="C5533" s="5" t="s">
        <v>982</v>
      </c>
      <c r="D5533" s="2" t="s">
        <v>983</v>
      </c>
    </row>
    <row r="5534" spans="1:4" ht="12.95" customHeight="1" x14ac:dyDescent="0.25">
      <c r="A5534" s="2" t="s">
        <v>865</v>
      </c>
      <c r="B5534" s="2" t="s">
        <v>977</v>
      </c>
      <c r="C5534" s="5" t="s">
        <v>984</v>
      </c>
      <c r="D5534" s="2" t="s">
        <v>1053</v>
      </c>
    </row>
    <row r="5535" spans="1:4" ht="12.95" customHeight="1" x14ac:dyDescent="0.25">
      <c r="A5535" s="2" t="s">
        <v>865</v>
      </c>
      <c r="B5535" s="2" t="s">
        <v>977</v>
      </c>
      <c r="C5535" s="5" t="s">
        <v>986</v>
      </c>
      <c r="D5535" s="2" t="s">
        <v>1054</v>
      </c>
    </row>
    <row r="5536" spans="1:4" ht="12.95" customHeight="1" x14ac:dyDescent="0.25">
      <c r="A5536" s="2" t="s">
        <v>865</v>
      </c>
      <c r="B5536" s="2" t="s">
        <v>977</v>
      </c>
      <c r="C5536" s="5" t="s">
        <v>988</v>
      </c>
      <c r="D5536" s="2" t="s">
        <v>1055</v>
      </c>
    </row>
    <row r="5537" spans="1:4" ht="12.95" customHeight="1" x14ac:dyDescent="0.25">
      <c r="A5537" s="2" t="s">
        <v>865</v>
      </c>
      <c r="B5537" s="2" t="s">
        <v>977</v>
      </c>
      <c r="C5537" s="5" t="s">
        <v>990</v>
      </c>
      <c r="D5537" s="2" t="s">
        <v>6145</v>
      </c>
    </row>
    <row r="5538" spans="1:4" ht="12.95" customHeight="1" x14ac:dyDescent="0.25">
      <c r="A5538" s="2" t="s">
        <v>865</v>
      </c>
      <c r="B5538" s="2" t="s">
        <v>977</v>
      </c>
      <c r="C5538" s="5" t="s">
        <v>992</v>
      </c>
      <c r="D5538" s="2" t="s">
        <v>1057</v>
      </c>
    </row>
    <row r="5539" spans="1:4" ht="12.95" customHeight="1" x14ac:dyDescent="0.25">
      <c r="A5539" s="2" t="s">
        <v>865</v>
      </c>
      <c r="B5539" s="2" t="s">
        <v>977</v>
      </c>
      <c r="C5539" s="5" t="s">
        <v>994</v>
      </c>
      <c r="D5539" s="2" t="s">
        <v>1058</v>
      </c>
    </row>
    <row r="5540" spans="1:4" ht="12.95" customHeight="1" x14ac:dyDescent="0.25">
      <c r="A5540" s="2" t="s">
        <v>865</v>
      </c>
      <c r="B5540" s="2" t="s">
        <v>977</v>
      </c>
      <c r="C5540" s="5" t="s">
        <v>1003</v>
      </c>
      <c r="D5540" s="2" t="s">
        <v>1059</v>
      </c>
    </row>
    <row r="5541" spans="1:4" ht="12.95" customHeight="1" x14ac:dyDescent="0.25">
      <c r="A5541" s="2" t="s">
        <v>867</v>
      </c>
      <c r="B5541" s="2" t="s">
        <v>977</v>
      </c>
      <c r="C5541" s="5" t="s">
        <v>996</v>
      </c>
      <c r="D5541" s="2" t="s">
        <v>997</v>
      </c>
    </row>
    <row r="5542" spans="1:4" ht="12.95" customHeight="1" x14ac:dyDescent="0.25">
      <c r="A5542" s="2" t="s">
        <v>867</v>
      </c>
      <c r="B5542" s="2" t="s">
        <v>977</v>
      </c>
      <c r="C5542" s="5" t="s">
        <v>978</v>
      </c>
      <c r="D5542" s="2" t="s">
        <v>1047</v>
      </c>
    </row>
    <row r="5543" spans="1:4" ht="12.95" customHeight="1" x14ac:dyDescent="0.25">
      <c r="A5543" s="2" t="s">
        <v>867</v>
      </c>
      <c r="B5543" s="2" t="s">
        <v>977</v>
      </c>
      <c r="C5543" s="5" t="s">
        <v>980</v>
      </c>
      <c r="D5543" s="2" t="s">
        <v>981</v>
      </c>
    </row>
    <row r="5544" spans="1:4" ht="12.95" customHeight="1" x14ac:dyDescent="0.25">
      <c r="A5544" s="2" t="s">
        <v>867</v>
      </c>
      <c r="B5544" s="2" t="s">
        <v>977</v>
      </c>
      <c r="C5544" s="5" t="s">
        <v>982</v>
      </c>
      <c r="D5544" s="2" t="s">
        <v>983</v>
      </c>
    </row>
    <row r="5545" spans="1:4" ht="12.95" customHeight="1" x14ac:dyDescent="0.25">
      <c r="A5545" s="2" t="s">
        <v>867</v>
      </c>
      <c r="B5545" s="2" t="s">
        <v>977</v>
      </c>
      <c r="C5545" s="5" t="s">
        <v>984</v>
      </c>
      <c r="D5545" s="2" t="s">
        <v>1053</v>
      </c>
    </row>
    <row r="5546" spans="1:4" ht="12.95" customHeight="1" x14ac:dyDescent="0.25">
      <c r="A5546" s="2" t="s">
        <v>867</v>
      </c>
      <c r="B5546" s="2" t="s">
        <v>977</v>
      </c>
      <c r="C5546" s="5" t="s">
        <v>986</v>
      </c>
      <c r="D5546" s="2" t="s">
        <v>1054</v>
      </c>
    </row>
    <row r="5547" spans="1:4" ht="12.95" customHeight="1" x14ac:dyDescent="0.25">
      <c r="A5547" s="2" t="s">
        <v>867</v>
      </c>
      <c r="B5547" s="2" t="s">
        <v>977</v>
      </c>
      <c r="C5547" s="5" t="s">
        <v>988</v>
      </c>
      <c r="D5547" s="2" t="s">
        <v>1055</v>
      </c>
    </row>
    <row r="5548" spans="1:4" ht="12.95" customHeight="1" x14ac:dyDescent="0.25">
      <c r="A5548" s="2" t="s">
        <v>867</v>
      </c>
      <c r="B5548" s="2" t="s">
        <v>977</v>
      </c>
      <c r="C5548" s="5" t="s">
        <v>990</v>
      </c>
      <c r="D5548" s="2" t="s">
        <v>6145</v>
      </c>
    </row>
    <row r="5549" spans="1:4" ht="12.95" customHeight="1" x14ac:dyDescent="0.25">
      <c r="A5549" s="2" t="s">
        <v>867</v>
      </c>
      <c r="B5549" s="2" t="s">
        <v>977</v>
      </c>
      <c r="C5549" s="5" t="s">
        <v>992</v>
      </c>
      <c r="D5549" s="2" t="s">
        <v>1057</v>
      </c>
    </row>
    <row r="5550" spans="1:4" ht="12.95" customHeight="1" x14ac:dyDescent="0.25">
      <c r="A5550" s="2" t="s">
        <v>867</v>
      </c>
      <c r="B5550" s="2" t="s">
        <v>977</v>
      </c>
      <c r="C5550" s="5" t="s">
        <v>994</v>
      </c>
      <c r="D5550" s="2" t="s">
        <v>1058</v>
      </c>
    </row>
    <row r="5551" spans="1:4" ht="12.95" customHeight="1" x14ac:dyDescent="0.25">
      <c r="A5551" s="2" t="s">
        <v>867</v>
      </c>
      <c r="B5551" s="2" t="s">
        <v>977</v>
      </c>
      <c r="C5551" s="5" t="s">
        <v>1003</v>
      </c>
      <c r="D5551" s="2" t="s">
        <v>1059</v>
      </c>
    </row>
    <row r="5552" spans="1:4" ht="12.95" customHeight="1" x14ac:dyDescent="0.25">
      <c r="A5552" s="2" t="s">
        <v>869</v>
      </c>
      <c r="B5552" s="2" t="s">
        <v>977</v>
      </c>
      <c r="C5552" s="5" t="s">
        <v>996</v>
      </c>
      <c r="D5552" s="2" t="s">
        <v>997</v>
      </c>
    </row>
    <row r="5553" spans="1:4" ht="12.95" customHeight="1" x14ac:dyDescent="0.25">
      <c r="A5553" s="2" t="s">
        <v>869</v>
      </c>
      <c r="B5553" s="2" t="s">
        <v>977</v>
      </c>
      <c r="C5553" s="5" t="s">
        <v>978</v>
      </c>
      <c r="D5553" s="2" t="s">
        <v>1047</v>
      </c>
    </row>
    <row r="5554" spans="1:4" ht="12.95" customHeight="1" x14ac:dyDescent="0.25">
      <c r="A5554" s="2" t="s">
        <v>869</v>
      </c>
      <c r="B5554" s="2" t="s">
        <v>977</v>
      </c>
      <c r="C5554" s="5" t="s">
        <v>980</v>
      </c>
      <c r="D5554" s="2" t="s">
        <v>981</v>
      </c>
    </row>
    <row r="5555" spans="1:4" ht="12.95" customHeight="1" x14ac:dyDescent="0.25">
      <c r="A5555" s="2" t="s">
        <v>869</v>
      </c>
      <c r="B5555" s="2" t="s">
        <v>977</v>
      </c>
      <c r="C5555" s="5" t="s">
        <v>982</v>
      </c>
      <c r="D5555" s="2" t="s">
        <v>983</v>
      </c>
    </row>
    <row r="5556" spans="1:4" ht="12.95" customHeight="1" x14ac:dyDescent="0.25">
      <c r="A5556" s="2" t="s">
        <v>869</v>
      </c>
      <c r="B5556" s="2" t="s">
        <v>977</v>
      </c>
      <c r="C5556" s="5" t="s">
        <v>984</v>
      </c>
      <c r="D5556" s="2" t="s">
        <v>1053</v>
      </c>
    </row>
    <row r="5557" spans="1:4" ht="12.95" customHeight="1" x14ac:dyDescent="0.25">
      <c r="A5557" s="2" t="s">
        <v>869</v>
      </c>
      <c r="B5557" s="2" t="s">
        <v>977</v>
      </c>
      <c r="C5557" s="5" t="s">
        <v>986</v>
      </c>
      <c r="D5557" s="2" t="s">
        <v>1054</v>
      </c>
    </row>
    <row r="5558" spans="1:4" ht="12.95" customHeight="1" x14ac:dyDescent="0.25">
      <c r="A5558" s="2" t="s">
        <v>869</v>
      </c>
      <c r="B5558" s="2" t="s">
        <v>977</v>
      </c>
      <c r="C5558" s="5" t="s">
        <v>988</v>
      </c>
      <c r="D5558" s="2" t="s">
        <v>1055</v>
      </c>
    </row>
    <row r="5559" spans="1:4" ht="12.95" customHeight="1" x14ac:dyDescent="0.25">
      <c r="A5559" s="2" t="s">
        <v>869</v>
      </c>
      <c r="B5559" s="2" t="s">
        <v>977</v>
      </c>
      <c r="C5559" s="5" t="s">
        <v>990</v>
      </c>
      <c r="D5559" s="2" t="s">
        <v>6145</v>
      </c>
    </row>
    <row r="5560" spans="1:4" ht="12.95" customHeight="1" x14ac:dyDescent="0.25">
      <c r="A5560" s="2" t="s">
        <v>869</v>
      </c>
      <c r="B5560" s="2" t="s">
        <v>977</v>
      </c>
      <c r="C5560" s="5" t="s">
        <v>992</v>
      </c>
      <c r="D5560" s="2" t="s">
        <v>1057</v>
      </c>
    </row>
    <row r="5561" spans="1:4" ht="12.95" customHeight="1" x14ac:dyDescent="0.25">
      <c r="A5561" s="2" t="s">
        <v>869</v>
      </c>
      <c r="B5561" s="2" t="s">
        <v>977</v>
      </c>
      <c r="C5561" s="5" t="s">
        <v>994</v>
      </c>
      <c r="D5561" s="2" t="s">
        <v>1058</v>
      </c>
    </row>
    <row r="5562" spans="1:4" ht="12.95" customHeight="1" x14ac:dyDescent="0.25">
      <c r="A5562" s="2" t="s">
        <v>869</v>
      </c>
      <c r="B5562" s="2" t="s">
        <v>977</v>
      </c>
      <c r="C5562" s="5" t="s">
        <v>1003</v>
      </c>
      <c r="D5562" s="2" t="s">
        <v>1059</v>
      </c>
    </row>
    <row r="5563" spans="1:4" ht="12.95" customHeight="1" x14ac:dyDescent="0.25">
      <c r="A5563" s="2" t="s">
        <v>871</v>
      </c>
      <c r="B5563" s="2" t="s">
        <v>977</v>
      </c>
      <c r="C5563" s="5" t="s">
        <v>996</v>
      </c>
      <c r="D5563" s="2" t="s">
        <v>997</v>
      </c>
    </row>
    <row r="5564" spans="1:4" ht="12.95" customHeight="1" x14ac:dyDescent="0.25">
      <c r="A5564" s="2" t="s">
        <v>871</v>
      </c>
      <c r="B5564" s="2" t="s">
        <v>977</v>
      </c>
      <c r="C5564" s="5" t="s">
        <v>978</v>
      </c>
      <c r="D5564" s="2" t="s">
        <v>1047</v>
      </c>
    </row>
    <row r="5565" spans="1:4" ht="12.95" customHeight="1" x14ac:dyDescent="0.25">
      <c r="A5565" s="2" t="s">
        <v>871</v>
      </c>
      <c r="B5565" s="2" t="s">
        <v>977</v>
      </c>
      <c r="C5565" s="5" t="s">
        <v>980</v>
      </c>
      <c r="D5565" s="2" t="s">
        <v>981</v>
      </c>
    </row>
    <row r="5566" spans="1:4" ht="12.95" customHeight="1" x14ac:dyDescent="0.25">
      <c r="A5566" s="2" t="s">
        <v>871</v>
      </c>
      <c r="B5566" s="2" t="s">
        <v>977</v>
      </c>
      <c r="C5566" s="5" t="s">
        <v>982</v>
      </c>
      <c r="D5566" s="2" t="s">
        <v>983</v>
      </c>
    </row>
    <row r="5567" spans="1:4" ht="12.95" customHeight="1" x14ac:dyDescent="0.25">
      <c r="A5567" s="2" t="s">
        <v>871</v>
      </c>
      <c r="B5567" s="2" t="s">
        <v>977</v>
      </c>
      <c r="C5567" s="5" t="s">
        <v>984</v>
      </c>
      <c r="D5567" s="2" t="s">
        <v>1053</v>
      </c>
    </row>
    <row r="5568" spans="1:4" ht="12.95" customHeight="1" x14ac:dyDescent="0.25">
      <c r="A5568" s="2" t="s">
        <v>871</v>
      </c>
      <c r="B5568" s="2" t="s">
        <v>977</v>
      </c>
      <c r="C5568" s="5" t="s">
        <v>986</v>
      </c>
      <c r="D5568" s="2" t="s">
        <v>1054</v>
      </c>
    </row>
    <row r="5569" spans="1:4" ht="12.95" customHeight="1" x14ac:dyDescent="0.25">
      <c r="A5569" s="2" t="s">
        <v>871</v>
      </c>
      <c r="B5569" s="2" t="s">
        <v>977</v>
      </c>
      <c r="C5569" s="5" t="s">
        <v>988</v>
      </c>
      <c r="D5569" s="2" t="s">
        <v>1055</v>
      </c>
    </row>
    <row r="5570" spans="1:4" ht="12.95" customHeight="1" x14ac:dyDescent="0.25">
      <c r="A5570" s="2" t="s">
        <v>871</v>
      </c>
      <c r="B5570" s="2" t="s">
        <v>977</v>
      </c>
      <c r="C5570" s="5" t="s">
        <v>990</v>
      </c>
      <c r="D5570" s="2" t="s">
        <v>6145</v>
      </c>
    </row>
    <row r="5571" spans="1:4" ht="12.95" customHeight="1" x14ac:dyDescent="0.25">
      <c r="A5571" s="2" t="s">
        <v>871</v>
      </c>
      <c r="B5571" s="2" t="s">
        <v>977</v>
      </c>
      <c r="C5571" s="5" t="s">
        <v>992</v>
      </c>
      <c r="D5571" s="2" t="s">
        <v>1057</v>
      </c>
    </row>
    <row r="5572" spans="1:4" ht="12.95" customHeight="1" x14ac:dyDescent="0.25">
      <c r="A5572" s="2" t="s">
        <v>871</v>
      </c>
      <c r="B5572" s="2" t="s">
        <v>977</v>
      </c>
      <c r="C5572" s="5" t="s">
        <v>994</v>
      </c>
      <c r="D5572" s="2" t="s">
        <v>1058</v>
      </c>
    </row>
    <row r="5573" spans="1:4" ht="12.95" customHeight="1" x14ac:dyDescent="0.25">
      <c r="A5573" s="2" t="s">
        <v>871</v>
      </c>
      <c r="B5573" s="2" t="s">
        <v>977</v>
      </c>
      <c r="C5573" s="5" t="s">
        <v>1003</v>
      </c>
      <c r="D5573" s="2" t="s">
        <v>1059</v>
      </c>
    </row>
    <row r="5574" spans="1:4" ht="12.95" customHeight="1" x14ac:dyDescent="0.25">
      <c r="A5574" s="2" t="s">
        <v>873</v>
      </c>
      <c r="B5574" s="2" t="s">
        <v>977</v>
      </c>
      <c r="C5574" s="5" t="s">
        <v>996</v>
      </c>
      <c r="D5574" s="2" t="s">
        <v>997</v>
      </c>
    </row>
    <row r="5575" spans="1:4" ht="12.95" customHeight="1" x14ac:dyDescent="0.25">
      <c r="A5575" s="2" t="s">
        <v>873</v>
      </c>
      <c r="B5575" s="2" t="s">
        <v>977</v>
      </c>
      <c r="C5575" s="5" t="s">
        <v>978</v>
      </c>
      <c r="D5575" s="2" t="s">
        <v>1047</v>
      </c>
    </row>
    <row r="5576" spans="1:4" ht="12.95" customHeight="1" x14ac:dyDescent="0.25">
      <c r="A5576" s="2" t="s">
        <v>873</v>
      </c>
      <c r="B5576" s="2" t="s">
        <v>977</v>
      </c>
      <c r="C5576" s="5" t="s">
        <v>980</v>
      </c>
      <c r="D5576" s="2" t="s">
        <v>981</v>
      </c>
    </row>
    <row r="5577" spans="1:4" ht="12.95" customHeight="1" x14ac:dyDescent="0.25">
      <c r="A5577" s="2" t="s">
        <v>873</v>
      </c>
      <c r="B5577" s="2" t="s">
        <v>977</v>
      </c>
      <c r="C5577" s="5" t="s">
        <v>982</v>
      </c>
      <c r="D5577" s="2" t="s">
        <v>983</v>
      </c>
    </row>
    <row r="5578" spans="1:4" ht="12.95" customHeight="1" x14ac:dyDescent="0.25">
      <c r="A5578" s="2" t="s">
        <v>873</v>
      </c>
      <c r="B5578" s="2" t="s">
        <v>977</v>
      </c>
      <c r="C5578" s="5" t="s">
        <v>984</v>
      </c>
      <c r="D5578" s="2" t="s">
        <v>1053</v>
      </c>
    </row>
    <row r="5579" spans="1:4" ht="12.95" customHeight="1" x14ac:dyDescent="0.25">
      <c r="A5579" s="2" t="s">
        <v>873</v>
      </c>
      <c r="B5579" s="2" t="s">
        <v>977</v>
      </c>
      <c r="C5579" s="5" t="s">
        <v>986</v>
      </c>
      <c r="D5579" s="2" t="s">
        <v>1054</v>
      </c>
    </row>
    <row r="5580" spans="1:4" ht="12.95" customHeight="1" x14ac:dyDescent="0.25">
      <c r="A5580" s="2" t="s">
        <v>873</v>
      </c>
      <c r="B5580" s="2" t="s">
        <v>977</v>
      </c>
      <c r="C5580" s="5" t="s">
        <v>988</v>
      </c>
      <c r="D5580" s="2" t="s">
        <v>1055</v>
      </c>
    </row>
    <row r="5581" spans="1:4" ht="12.95" customHeight="1" x14ac:dyDescent="0.25">
      <c r="A5581" s="2" t="s">
        <v>873</v>
      </c>
      <c r="B5581" s="2" t="s">
        <v>977</v>
      </c>
      <c r="C5581" s="5" t="s">
        <v>990</v>
      </c>
      <c r="D5581" s="2" t="s">
        <v>6145</v>
      </c>
    </row>
    <row r="5582" spans="1:4" ht="12.95" customHeight="1" x14ac:dyDescent="0.25">
      <c r="A5582" s="2" t="s">
        <v>873</v>
      </c>
      <c r="B5582" s="2" t="s">
        <v>977</v>
      </c>
      <c r="C5582" s="5" t="s">
        <v>992</v>
      </c>
      <c r="D5582" s="2" t="s">
        <v>1057</v>
      </c>
    </row>
    <row r="5583" spans="1:4" ht="12.95" customHeight="1" x14ac:dyDescent="0.25">
      <c r="A5583" s="2" t="s">
        <v>873</v>
      </c>
      <c r="B5583" s="2" t="s">
        <v>977</v>
      </c>
      <c r="C5583" s="5" t="s">
        <v>994</v>
      </c>
      <c r="D5583" s="2" t="s">
        <v>1058</v>
      </c>
    </row>
    <row r="5584" spans="1:4" ht="12.95" customHeight="1" x14ac:dyDescent="0.25">
      <c r="A5584" s="2" t="s">
        <v>873</v>
      </c>
      <c r="B5584" s="2" t="s">
        <v>977</v>
      </c>
      <c r="C5584" s="5" t="s">
        <v>1003</v>
      </c>
      <c r="D5584" s="2" t="s">
        <v>1059</v>
      </c>
    </row>
    <row r="5585" spans="1:4" ht="12.95" customHeight="1" x14ac:dyDescent="0.25">
      <c r="A5585" s="2" t="s">
        <v>875</v>
      </c>
      <c r="B5585" s="2" t="s">
        <v>977</v>
      </c>
      <c r="C5585" s="5" t="s">
        <v>996</v>
      </c>
      <c r="D5585" s="2" t="s">
        <v>997</v>
      </c>
    </row>
    <row r="5586" spans="1:4" ht="12.95" customHeight="1" x14ac:dyDescent="0.25">
      <c r="A5586" s="2" t="s">
        <v>875</v>
      </c>
      <c r="B5586" s="2" t="s">
        <v>977</v>
      </c>
      <c r="C5586" s="5" t="s">
        <v>978</v>
      </c>
      <c r="D5586" s="2" t="s">
        <v>1047</v>
      </c>
    </row>
    <row r="5587" spans="1:4" ht="12.95" customHeight="1" x14ac:dyDescent="0.25">
      <c r="A5587" s="2" t="s">
        <v>875</v>
      </c>
      <c r="B5587" s="2" t="s">
        <v>977</v>
      </c>
      <c r="C5587" s="5" t="s">
        <v>980</v>
      </c>
      <c r="D5587" s="2" t="s">
        <v>981</v>
      </c>
    </row>
    <row r="5588" spans="1:4" ht="12.95" customHeight="1" x14ac:dyDescent="0.25">
      <c r="A5588" s="2" t="s">
        <v>875</v>
      </c>
      <c r="B5588" s="2" t="s">
        <v>977</v>
      </c>
      <c r="C5588" s="5" t="s">
        <v>982</v>
      </c>
      <c r="D5588" s="2" t="s">
        <v>983</v>
      </c>
    </row>
    <row r="5589" spans="1:4" ht="12.95" customHeight="1" x14ac:dyDescent="0.25">
      <c r="A5589" s="2" t="s">
        <v>875</v>
      </c>
      <c r="B5589" s="2" t="s">
        <v>977</v>
      </c>
      <c r="C5589" s="5" t="s">
        <v>984</v>
      </c>
      <c r="D5589" s="2" t="s">
        <v>1053</v>
      </c>
    </row>
    <row r="5590" spans="1:4" ht="12.95" customHeight="1" x14ac:dyDescent="0.25">
      <c r="A5590" s="2" t="s">
        <v>875</v>
      </c>
      <c r="B5590" s="2" t="s">
        <v>977</v>
      </c>
      <c r="C5590" s="5" t="s">
        <v>986</v>
      </c>
      <c r="D5590" s="2" t="s">
        <v>1054</v>
      </c>
    </row>
    <row r="5591" spans="1:4" ht="12.95" customHeight="1" x14ac:dyDescent="0.25">
      <c r="A5591" s="2" t="s">
        <v>875</v>
      </c>
      <c r="B5591" s="2" t="s">
        <v>977</v>
      </c>
      <c r="C5591" s="5" t="s">
        <v>988</v>
      </c>
      <c r="D5591" s="2" t="s">
        <v>1055</v>
      </c>
    </row>
    <row r="5592" spans="1:4" ht="12.95" customHeight="1" x14ac:dyDescent="0.25">
      <c r="A5592" s="2" t="s">
        <v>875</v>
      </c>
      <c r="B5592" s="2" t="s">
        <v>977</v>
      </c>
      <c r="C5592" s="5" t="s">
        <v>990</v>
      </c>
      <c r="D5592" s="2" t="s">
        <v>6145</v>
      </c>
    </row>
    <row r="5593" spans="1:4" ht="12.95" customHeight="1" x14ac:dyDescent="0.25">
      <c r="A5593" s="2" t="s">
        <v>875</v>
      </c>
      <c r="B5593" s="2" t="s">
        <v>977</v>
      </c>
      <c r="C5593" s="5" t="s">
        <v>992</v>
      </c>
      <c r="D5593" s="2" t="s">
        <v>1057</v>
      </c>
    </row>
    <row r="5594" spans="1:4" ht="12.95" customHeight="1" x14ac:dyDescent="0.25">
      <c r="A5594" s="2" t="s">
        <v>875</v>
      </c>
      <c r="B5594" s="2" t="s">
        <v>977</v>
      </c>
      <c r="C5594" s="5" t="s">
        <v>994</v>
      </c>
      <c r="D5594" s="2" t="s">
        <v>1058</v>
      </c>
    </row>
    <row r="5595" spans="1:4" ht="12.95" customHeight="1" x14ac:dyDescent="0.25">
      <c r="A5595" s="2" t="s">
        <v>875</v>
      </c>
      <c r="B5595" s="2" t="s">
        <v>977</v>
      </c>
      <c r="C5595" s="5" t="s">
        <v>1003</v>
      </c>
      <c r="D5595" s="2" t="s">
        <v>1059</v>
      </c>
    </row>
    <row r="5596" spans="1:4" ht="12.95" customHeight="1" x14ac:dyDescent="0.25">
      <c r="A5596" s="2" t="s">
        <v>877</v>
      </c>
      <c r="B5596" s="2" t="s">
        <v>977</v>
      </c>
      <c r="C5596" s="5" t="s">
        <v>996</v>
      </c>
      <c r="D5596" s="2" t="s">
        <v>997</v>
      </c>
    </row>
    <row r="5597" spans="1:4" ht="12.95" customHeight="1" x14ac:dyDescent="0.25">
      <c r="A5597" s="2" t="s">
        <v>877</v>
      </c>
      <c r="B5597" s="2" t="s">
        <v>977</v>
      </c>
      <c r="C5597" s="5" t="s">
        <v>978</v>
      </c>
      <c r="D5597" s="2" t="s">
        <v>1047</v>
      </c>
    </row>
    <row r="5598" spans="1:4" ht="12.95" customHeight="1" x14ac:dyDescent="0.25">
      <c r="A5598" s="2" t="s">
        <v>877</v>
      </c>
      <c r="B5598" s="2" t="s">
        <v>977</v>
      </c>
      <c r="C5598" s="5" t="s">
        <v>980</v>
      </c>
      <c r="D5598" s="2" t="s">
        <v>981</v>
      </c>
    </row>
    <row r="5599" spans="1:4" ht="12.95" customHeight="1" x14ac:dyDescent="0.25">
      <c r="A5599" s="2" t="s">
        <v>877</v>
      </c>
      <c r="B5599" s="2" t="s">
        <v>977</v>
      </c>
      <c r="C5599" s="5" t="s">
        <v>982</v>
      </c>
      <c r="D5599" s="2" t="s">
        <v>983</v>
      </c>
    </row>
    <row r="5600" spans="1:4" ht="12.95" customHeight="1" x14ac:dyDescent="0.25">
      <c r="A5600" s="2" t="s">
        <v>877</v>
      </c>
      <c r="B5600" s="2" t="s">
        <v>977</v>
      </c>
      <c r="C5600" s="5" t="s">
        <v>984</v>
      </c>
      <c r="D5600" s="2" t="s">
        <v>1053</v>
      </c>
    </row>
    <row r="5601" spans="1:4" ht="12.95" customHeight="1" x14ac:dyDescent="0.25">
      <c r="A5601" s="2" t="s">
        <v>877</v>
      </c>
      <c r="B5601" s="2" t="s">
        <v>977</v>
      </c>
      <c r="C5601" s="5" t="s">
        <v>986</v>
      </c>
      <c r="D5601" s="2" t="s">
        <v>1054</v>
      </c>
    </row>
    <row r="5602" spans="1:4" ht="12.95" customHeight="1" x14ac:dyDescent="0.25">
      <c r="A5602" s="2" t="s">
        <v>877</v>
      </c>
      <c r="B5602" s="2" t="s">
        <v>977</v>
      </c>
      <c r="C5602" s="5" t="s">
        <v>988</v>
      </c>
      <c r="D5602" s="2" t="s">
        <v>1055</v>
      </c>
    </row>
    <row r="5603" spans="1:4" ht="12.95" customHeight="1" x14ac:dyDescent="0.25">
      <c r="A5603" s="2" t="s">
        <v>877</v>
      </c>
      <c r="B5603" s="2" t="s">
        <v>977</v>
      </c>
      <c r="C5603" s="5" t="s">
        <v>990</v>
      </c>
      <c r="D5603" s="2" t="s">
        <v>6145</v>
      </c>
    </row>
    <row r="5604" spans="1:4" ht="12.95" customHeight="1" x14ac:dyDescent="0.25">
      <c r="A5604" s="2" t="s">
        <v>877</v>
      </c>
      <c r="B5604" s="2" t="s">
        <v>977</v>
      </c>
      <c r="C5604" s="5" t="s">
        <v>992</v>
      </c>
      <c r="D5604" s="2" t="s">
        <v>1057</v>
      </c>
    </row>
    <row r="5605" spans="1:4" ht="12.95" customHeight="1" x14ac:dyDescent="0.25">
      <c r="A5605" s="2" t="s">
        <v>877</v>
      </c>
      <c r="B5605" s="2" t="s">
        <v>977</v>
      </c>
      <c r="C5605" s="5" t="s">
        <v>994</v>
      </c>
      <c r="D5605" s="2" t="s">
        <v>1058</v>
      </c>
    </row>
    <row r="5606" spans="1:4" ht="12.95" customHeight="1" x14ac:dyDescent="0.25">
      <c r="A5606" s="2" t="s">
        <v>877</v>
      </c>
      <c r="B5606" s="2" t="s">
        <v>977</v>
      </c>
      <c r="C5606" s="5" t="s">
        <v>1003</v>
      </c>
      <c r="D5606" s="2" t="s">
        <v>1059</v>
      </c>
    </row>
    <row r="5607" spans="1:4" ht="12.95" customHeight="1" x14ac:dyDescent="0.25">
      <c r="A5607" s="2" t="s">
        <v>879</v>
      </c>
      <c r="B5607" s="2" t="s">
        <v>977</v>
      </c>
      <c r="C5607" s="5" t="s">
        <v>996</v>
      </c>
      <c r="D5607" s="2" t="s">
        <v>997</v>
      </c>
    </row>
    <row r="5608" spans="1:4" ht="12.95" customHeight="1" x14ac:dyDescent="0.25">
      <c r="A5608" s="2" t="s">
        <v>879</v>
      </c>
      <c r="B5608" s="2" t="s">
        <v>977</v>
      </c>
      <c r="C5608" s="5" t="s">
        <v>978</v>
      </c>
      <c r="D5608" s="2" t="s">
        <v>979</v>
      </c>
    </row>
    <row r="5609" spans="1:4" ht="12.95" customHeight="1" x14ac:dyDescent="0.25">
      <c r="A5609" s="2" t="s">
        <v>879</v>
      </c>
      <c r="B5609" s="2" t="s">
        <v>977</v>
      </c>
      <c r="C5609" s="5" t="s">
        <v>980</v>
      </c>
      <c r="D5609" s="2" t="s">
        <v>981</v>
      </c>
    </row>
    <row r="5610" spans="1:4" ht="12.95" customHeight="1" x14ac:dyDescent="0.25">
      <c r="A5610" s="2" t="s">
        <v>879</v>
      </c>
      <c r="B5610" s="2" t="s">
        <v>977</v>
      </c>
      <c r="C5610" s="5" t="s">
        <v>982</v>
      </c>
      <c r="D5610" s="2" t="s">
        <v>983</v>
      </c>
    </row>
    <row r="5611" spans="1:4" ht="12.95" customHeight="1" x14ac:dyDescent="0.25">
      <c r="A5611" s="2" t="s">
        <v>879</v>
      </c>
      <c r="B5611" s="2" t="s">
        <v>977</v>
      </c>
      <c r="C5611" s="5" t="s">
        <v>1174</v>
      </c>
      <c r="D5611" s="2" t="s">
        <v>1059</v>
      </c>
    </row>
    <row r="5612" spans="1:4" ht="12.95" customHeight="1" x14ac:dyDescent="0.25">
      <c r="A5612" s="2" t="s">
        <v>879</v>
      </c>
      <c r="B5612" s="2" t="s">
        <v>977</v>
      </c>
      <c r="C5612" s="5" t="s">
        <v>984</v>
      </c>
      <c r="D5612" s="2" t="s">
        <v>3249</v>
      </c>
    </row>
    <row r="5613" spans="1:4" ht="12.95" customHeight="1" x14ac:dyDescent="0.25">
      <c r="A5613" s="2" t="s">
        <v>879</v>
      </c>
      <c r="B5613" s="2" t="s">
        <v>977</v>
      </c>
      <c r="C5613" s="5" t="s">
        <v>986</v>
      </c>
      <c r="D5613" s="2" t="s">
        <v>3250</v>
      </c>
    </row>
    <row r="5614" spans="1:4" ht="12.95" customHeight="1" x14ac:dyDescent="0.25">
      <c r="A5614" s="2" t="s">
        <v>879</v>
      </c>
      <c r="B5614" s="2" t="s">
        <v>977</v>
      </c>
      <c r="C5614" s="5" t="s">
        <v>988</v>
      </c>
      <c r="D5614" s="2" t="s">
        <v>3251</v>
      </c>
    </row>
    <row r="5615" spans="1:4" ht="12.95" customHeight="1" x14ac:dyDescent="0.25">
      <c r="A5615" s="2" t="s">
        <v>879</v>
      </c>
      <c r="B5615" s="2" t="s">
        <v>977</v>
      </c>
      <c r="C5615" s="5" t="s">
        <v>990</v>
      </c>
      <c r="D5615" s="2" t="s">
        <v>3252</v>
      </c>
    </row>
    <row r="5616" spans="1:4" ht="12.95" customHeight="1" x14ac:dyDescent="0.25">
      <c r="A5616" s="2" t="s">
        <v>879</v>
      </c>
      <c r="B5616" s="2" t="s">
        <v>977</v>
      </c>
      <c r="C5616" s="5" t="s">
        <v>992</v>
      </c>
      <c r="D5616" s="2" t="s">
        <v>3253</v>
      </c>
    </row>
    <row r="5617" spans="1:4" ht="12.95" customHeight="1" x14ac:dyDescent="0.25">
      <c r="A5617" s="2" t="s">
        <v>879</v>
      </c>
      <c r="B5617" s="2" t="s">
        <v>977</v>
      </c>
      <c r="C5617" s="5" t="s">
        <v>994</v>
      </c>
      <c r="D5617" s="2" t="s">
        <v>3254</v>
      </c>
    </row>
    <row r="5618" spans="1:4" ht="12.95" customHeight="1" x14ac:dyDescent="0.25">
      <c r="A5618" s="2" t="s">
        <v>879</v>
      </c>
      <c r="B5618" s="2" t="s">
        <v>977</v>
      </c>
      <c r="C5618" s="5" t="s">
        <v>1003</v>
      </c>
      <c r="D5618" s="2" t="s">
        <v>3255</v>
      </c>
    </row>
    <row r="5619" spans="1:4" ht="12.95" customHeight="1" x14ac:dyDescent="0.25">
      <c r="A5619" s="2" t="s">
        <v>879</v>
      </c>
      <c r="B5619" s="2" t="s">
        <v>977</v>
      </c>
      <c r="C5619" s="5" t="s">
        <v>1013</v>
      </c>
      <c r="D5619" s="2" t="s">
        <v>3256</v>
      </c>
    </row>
    <row r="5620" spans="1:4" ht="12.95" customHeight="1" x14ac:dyDescent="0.25">
      <c r="A5620" s="2" t="s">
        <v>879</v>
      </c>
      <c r="B5620" s="2" t="s">
        <v>977</v>
      </c>
      <c r="C5620" s="5" t="s">
        <v>1005</v>
      </c>
      <c r="D5620" s="2" t="s">
        <v>1037</v>
      </c>
    </row>
    <row r="5621" spans="1:4" ht="12.95" customHeight="1" x14ac:dyDescent="0.25">
      <c r="A5621" s="2" t="s">
        <v>881</v>
      </c>
      <c r="B5621" s="2" t="s">
        <v>977</v>
      </c>
      <c r="C5621" s="5" t="s">
        <v>996</v>
      </c>
      <c r="D5621" s="2" t="s">
        <v>997</v>
      </c>
    </row>
    <row r="5622" spans="1:4" ht="12.95" customHeight="1" x14ac:dyDescent="0.25">
      <c r="A5622" s="2" t="s">
        <v>881</v>
      </c>
      <c r="B5622" s="2" t="s">
        <v>977</v>
      </c>
      <c r="C5622" s="5" t="s">
        <v>978</v>
      </c>
      <c r="D5622" s="2" t="s">
        <v>979</v>
      </c>
    </row>
    <row r="5623" spans="1:4" ht="12.95" customHeight="1" x14ac:dyDescent="0.25">
      <c r="A5623" s="2" t="s">
        <v>881</v>
      </c>
      <c r="B5623" s="2" t="s">
        <v>977</v>
      </c>
      <c r="C5623" s="5" t="s">
        <v>980</v>
      </c>
      <c r="D5623" s="2" t="s">
        <v>981</v>
      </c>
    </row>
    <row r="5624" spans="1:4" ht="12.95" customHeight="1" x14ac:dyDescent="0.25">
      <c r="A5624" s="2" t="s">
        <v>881</v>
      </c>
      <c r="B5624" s="2" t="s">
        <v>977</v>
      </c>
      <c r="C5624" s="5" t="s">
        <v>982</v>
      </c>
      <c r="D5624" s="2" t="s">
        <v>983</v>
      </c>
    </row>
    <row r="5625" spans="1:4" ht="12.95" customHeight="1" x14ac:dyDescent="0.25">
      <c r="A5625" s="2" t="s">
        <v>881</v>
      </c>
      <c r="B5625" s="2" t="s">
        <v>977</v>
      </c>
      <c r="C5625" s="5" t="s">
        <v>1174</v>
      </c>
      <c r="D5625" s="2" t="s">
        <v>1059</v>
      </c>
    </row>
    <row r="5626" spans="1:4" ht="12.95" customHeight="1" x14ac:dyDescent="0.25">
      <c r="A5626" s="2" t="s">
        <v>881</v>
      </c>
      <c r="B5626" s="2" t="s">
        <v>977</v>
      </c>
      <c r="C5626" s="5" t="s">
        <v>984</v>
      </c>
      <c r="D5626" s="2" t="s">
        <v>3249</v>
      </c>
    </row>
    <row r="5627" spans="1:4" ht="12.95" customHeight="1" x14ac:dyDescent="0.25">
      <c r="A5627" s="2" t="s">
        <v>881</v>
      </c>
      <c r="B5627" s="2" t="s">
        <v>977</v>
      </c>
      <c r="C5627" s="5" t="s">
        <v>986</v>
      </c>
      <c r="D5627" s="2" t="s">
        <v>3250</v>
      </c>
    </row>
    <row r="5628" spans="1:4" ht="12.95" customHeight="1" x14ac:dyDescent="0.25">
      <c r="A5628" s="2" t="s">
        <v>881</v>
      </c>
      <c r="B5628" s="2" t="s">
        <v>977</v>
      </c>
      <c r="C5628" s="5" t="s">
        <v>988</v>
      </c>
      <c r="D5628" s="2" t="s">
        <v>3251</v>
      </c>
    </row>
    <row r="5629" spans="1:4" ht="12.95" customHeight="1" x14ac:dyDescent="0.25">
      <c r="A5629" s="2" t="s">
        <v>881</v>
      </c>
      <c r="B5629" s="2" t="s">
        <v>977</v>
      </c>
      <c r="C5629" s="5" t="s">
        <v>990</v>
      </c>
      <c r="D5629" s="2" t="s">
        <v>3252</v>
      </c>
    </row>
    <row r="5630" spans="1:4" ht="12.95" customHeight="1" x14ac:dyDescent="0.25">
      <c r="A5630" s="2" t="s">
        <v>881</v>
      </c>
      <c r="B5630" s="2" t="s">
        <v>977</v>
      </c>
      <c r="C5630" s="5" t="s">
        <v>992</v>
      </c>
      <c r="D5630" s="2" t="s">
        <v>3253</v>
      </c>
    </row>
    <row r="5631" spans="1:4" ht="12.95" customHeight="1" x14ac:dyDescent="0.25">
      <c r="A5631" s="2" t="s">
        <v>881</v>
      </c>
      <c r="B5631" s="2" t="s">
        <v>977</v>
      </c>
      <c r="C5631" s="5" t="s">
        <v>994</v>
      </c>
      <c r="D5631" s="2" t="s">
        <v>3254</v>
      </c>
    </row>
    <row r="5632" spans="1:4" ht="12.95" customHeight="1" x14ac:dyDescent="0.25">
      <c r="A5632" s="2" t="s">
        <v>881</v>
      </c>
      <c r="B5632" s="2" t="s">
        <v>977</v>
      </c>
      <c r="C5632" s="5" t="s">
        <v>1003</v>
      </c>
      <c r="D5632" s="2" t="s">
        <v>3255</v>
      </c>
    </row>
    <row r="5633" spans="1:4" ht="12.95" customHeight="1" x14ac:dyDescent="0.25">
      <c r="A5633" s="2" t="s">
        <v>881</v>
      </c>
      <c r="B5633" s="2" t="s">
        <v>977</v>
      </c>
      <c r="C5633" s="5" t="s">
        <v>1013</v>
      </c>
      <c r="D5633" s="2" t="s">
        <v>3256</v>
      </c>
    </row>
    <row r="5634" spans="1:4" ht="12.95" customHeight="1" x14ac:dyDescent="0.25">
      <c r="A5634" s="2" t="s">
        <v>881</v>
      </c>
      <c r="B5634" s="2" t="s">
        <v>977</v>
      </c>
      <c r="C5634" s="5" t="s">
        <v>1005</v>
      </c>
      <c r="D5634" s="2" t="s">
        <v>1037</v>
      </c>
    </row>
    <row r="5635" spans="1:4" ht="12.95" customHeight="1" x14ac:dyDescent="0.25">
      <c r="A5635" s="2" t="s">
        <v>883</v>
      </c>
      <c r="B5635" s="2" t="s">
        <v>977</v>
      </c>
      <c r="C5635" s="5" t="s">
        <v>996</v>
      </c>
      <c r="D5635" s="2" t="s">
        <v>997</v>
      </c>
    </row>
    <row r="5636" spans="1:4" ht="12.95" customHeight="1" x14ac:dyDescent="0.25">
      <c r="A5636" s="2" t="s">
        <v>883</v>
      </c>
      <c r="B5636" s="2" t="s">
        <v>977</v>
      </c>
      <c r="C5636" s="5" t="s">
        <v>978</v>
      </c>
      <c r="D5636" s="2" t="s">
        <v>979</v>
      </c>
    </row>
    <row r="5637" spans="1:4" ht="12.95" customHeight="1" x14ac:dyDescent="0.25">
      <c r="A5637" s="2" t="s">
        <v>883</v>
      </c>
      <c r="B5637" s="2" t="s">
        <v>977</v>
      </c>
      <c r="C5637" s="5" t="s">
        <v>980</v>
      </c>
      <c r="D5637" s="2" t="s">
        <v>981</v>
      </c>
    </row>
    <row r="5638" spans="1:4" ht="12.95" customHeight="1" x14ac:dyDescent="0.25">
      <c r="A5638" s="2" t="s">
        <v>883</v>
      </c>
      <c r="B5638" s="2" t="s">
        <v>977</v>
      </c>
      <c r="C5638" s="5" t="s">
        <v>982</v>
      </c>
      <c r="D5638" s="2" t="s">
        <v>983</v>
      </c>
    </row>
    <row r="5639" spans="1:4" ht="12.95" customHeight="1" x14ac:dyDescent="0.25">
      <c r="A5639" s="2" t="s">
        <v>883</v>
      </c>
      <c r="B5639" s="2" t="s">
        <v>977</v>
      </c>
      <c r="C5639" s="5" t="s">
        <v>1174</v>
      </c>
      <c r="D5639" s="2" t="s">
        <v>1059</v>
      </c>
    </row>
    <row r="5640" spans="1:4" ht="12.95" customHeight="1" x14ac:dyDescent="0.25">
      <c r="A5640" s="2" t="s">
        <v>883</v>
      </c>
      <c r="B5640" s="2" t="s">
        <v>977</v>
      </c>
      <c r="C5640" s="5" t="s">
        <v>984</v>
      </c>
      <c r="D5640" s="2" t="s">
        <v>3249</v>
      </c>
    </row>
    <row r="5641" spans="1:4" ht="12.95" customHeight="1" x14ac:dyDescent="0.25">
      <c r="A5641" s="2" t="s">
        <v>883</v>
      </c>
      <c r="B5641" s="2" t="s">
        <v>977</v>
      </c>
      <c r="C5641" s="5" t="s">
        <v>986</v>
      </c>
      <c r="D5641" s="2" t="s">
        <v>3250</v>
      </c>
    </row>
    <row r="5642" spans="1:4" ht="12.95" customHeight="1" x14ac:dyDescent="0.25">
      <c r="A5642" s="2" t="s">
        <v>883</v>
      </c>
      <c r="B5642" s="2" t="s">
        <v>977</v>
      </c>
      <c r="C5642" s="5" t="s">
        <v>988</v>
      </c>
      <c r="D5642" s="2" t="s">
        <v>3251</v>
      </c>
    </row>
    <row r="5643" spans="1:4" ht="12.95" customHeight="1" x14ac:dyDescent="0.25">
      <c r="A5643" s="2" t="s">
        <v>883</v>
      </c>
      <c r="B5643" s="2" t="s">
        <v>977</v>
      </c>
      <c r="C5643" s="5" t="s">
        <v>990</v>
      </c>
      <c r="D5643" s="2" t="s">
        <v>3252</v>
      </c>
    </row>
    <row r="5644" spans="1:4" ht="12.95" customHeight="1" x14ac:dyDescent="0.25">
      <c r="A5644" s="2" t="s">
        <v>883</v>
      </c>
      <c r="B5644" s="2" t="s">
        <v>977</v>
      </c>
      <c r="C5644" s="5" t="s">
        <v>992</v>
      </c>
      <c r="D5644" s="2" t="s">
        <v>3253</v>
      </c>
    </row>
    <row r="5645" spans="1:4" ht="12.95" customHeight="1" x14ac:dyDescent="0.25">
      <c r="A5645" s="2" t="s">
        <v>883</v>
      </c>
      <c r="B5645" s="2" t="s">
        <v>977</v>
      </c>
      <c r="C5645" s="5" t="s">
        <v>994</v>
      </c>
      <c r="D5645" s="2" t="s">
        <v>3254</v>
      </c>
    </row>
    <row r="5646" spans="1:4" ht="12.95" customHeight="1" x14ac:dyDescent="0.25">
      <c r="A5646" s="2" t="s">
        <v>883</v>
      </c>
      <c r="B5646" s="2" t="s">
        <v>977</v>
      </c>
      <c r="C5646" s="5" t="s">
        <v>1003</v>
      </c>
      <c r="D5646" s="2" t="s">
        <v>3255</v>
      </c>
    </row>
    <row r="5647" spans="1:4" ht="12.95" customHeight="1" x14ac:dyDescent="0.25">
      <c r="A5647" s="2" t="s">
        <v>883</v>
      </c>
      <c r="B5647" s="2" t="s">
        <v>977</v>
      </c>
      <c r="C5647" s="5" t="s">
        <v>1013</v>
      </c>
      <c r="D5647" s="2" t="s">
        <v>3256</v>
      </c>
    </row>
    <row r="5648" spans="1:4" ht="12.95" customHeight="1" x14ac:dyDescent="0.25">
      <c r="A5648" s="2" t="s">
        <v>883</v>
      </c>
      <c r="B5648" s="2" t="s">
        <v>977</v>
      </c>
      <c r="C5648" s="5" t="s">
        <v>1005</v>
      </c>
      <c r="D5648" s="2" t="s">
        <v>1037</v>
      </c>
    </row>
    <row r="5649" spans="1:4" ht="12.95" customHeight="1" x14ac:dyDescent="0.25">
      <c r="A5649" s="2" t="s">
        <v>885</v>
      </c>
      <c r="B5649" s="2" t="s">
        <v>977</v>
      </c>
      <c r="C5649" s="5" t="s">
        <v>996</v>
      </c>
      <c r="D5649" s="2" t="s">
        <v>997</v>
      </c>
    </row>
    <row r="5650" spans="1:4" ht="12.95" customHeight="1" x14ac:dyDescent="0.25">
      <c r="A5650" s="2" t="s">
        <v>885</v>
      </c>
      <c r="B5650" s="2" t="s">
        <v>977</v>
      </c>
      <c r="C5650" s="5" t="s">
        <v>978</v>
      </c>
      <c r="D5650" s="2" t="s">
        <v>979</v>
      </c>
    </row>
    <row r="5651" spans="1:4" ht="12.95" customHeight="1" x14ac:dyDescent="0.25">
      <c r="A5651" s="2" t="s">
        <v>885</v>
      </c>
      <c r="B5651" s="2" t="s">
        <v>977</v>
      </c>
      <c r="C5651" s="5" t="s">
        <v>980</v>
      </c>
      <c r="D5651" s="2" t="s">
        <v>981</v>
      </c>
    </row>
    <row r="5652" spans="1:4" ht="12.95" customHeight="1" x14ac:dyDescent="0.25">
      <c r="A5652" s="2" t="s">
        <v>885</v>
      </c>
      <c r="B5652" s="2" t="s">
        <v>977</v>
      </c>
      <c r="C5652" s="5" t="s">
        <v>982</v>
      </c>
      <c r="D5652" s="2" t="s">
        <v>983</v>
      </c>
    </row>
    <row r="5653" spans="1:4" ht="12.95" customHeight="1" x14ac:dyDescent="0.25">
      <c r="A5653" s="2" t="s">
        <v>885</v>
      </c>
      <c r="B5653" s="2" t="s">
        <v>977</v>
      </c>
      <c r="C5653" s="5" t="s">
        <v>1174</v>
      </c>
      <c r="D5653" s="2" t="s">
        <v>1059</v>
      </c>
    </row>
    <row r="5654" spans="1:4" ht="12.95" customHeight="1" x14ac:dyDescent="0.25">
      <c r="A5654" s="2" t="s">
        <v>885</v>
      </c>
      <c r="B5654" s="2" t="s">
        <v>977</v>
      </c>
      <c r="C5654" s="5" t="s">
        <v>984</v>
      </c>
      <c r="D5654" s="2" t="s">
        <v>3249</v>
      </c>
    </row>
    <row r="5655" spans="1:4" ht="12.95" customHeight="1" x14ac:dyDescent="0.25">
      <c r="A5655" s="2" t="s">
        <v>885</v>
      </c>
      <c r="B5655" s="2" t="s">
        <v>977</v>
      </c>
      <c r="C5655" s="5" t="s">
        <v>986</v>
      </c>
      <c r="D5655" s="2" t="s">
        <v>3250</v>
      </c>
    </row>
    <row r="5656" spans="1:4" ht="12.95" customHeight="1" x14ac:dyDescent="0.25">
      <c r="A5656" s="2" t="s">
        <v>885</v>
      </c>
      <c r="B5656" s="2" t="s">
        <v>977</v>
      </c>
      <c r="C5656" s="5" t="s">
        <v>988</v>
      </c>
      <c r="D5656" s="2" t="s">
        <v>3251</v>
      </c>
    </row>
    <row r="5657" spans="1:4" ht="12.95" customHeight="1" x14ac:dyDescent="0.25">
      <c r="A5657" s="2" t="s">
        <v>885</v>
      </c>
      <c r="B5657" s="2" t="s">
        <v>977</v>
      </c>
      <c r="C5657" s="5" t="s">
        <v>990</v>
      </c>
      <c r="D5657" s="2" t="s">
        <v>3252</v>
      </c>
    </row>
    <row r="5658" spans="1:4" ht="12.95" customHeight="1" x14ac:dyDescent="0.25">
      <c r="A5658" s="2" t="s">
        <v>885</v>
      </c>
      <c r="B5658" s="2" t="s">
        <v>977</v>
      </c>
      <c r="C5658" s="5" t="s">
        <v>992</v>
      </c>
      <c r="D5658" s="2" t="s">
        <v>3253</v>
      </c>
    </row>
    <row r="5659" spans="1:4" ht="12.95" customHeight="1" x14ac:dyDescent="0.25">
      <c r="A5659" s="2" t="s">
        <v>885</v>
      </c>
      <c r="B5659" s="2" t="s">
        <v>977</v>
      </c>
      <c r="C5659" s="5" t="s">
        <v>994</v>
      </c>
      <c r="D5659" s="2" t="s">
        <v>3254</v>
      </c>
    </row>
    <row r="5660" spans="1:4" ht="12.95" customHeight="1" x14ac:dyDescent="0.25">
      <c r="A5660" s="2" t="s">
        <v>885</v>
      </c>
      <c r="B5660" s="2" t="s">
        <v>977</v>
      </c>
      <c r="C5660" s="5" t="s">
        <v>1003</v>
      </c>
      <c r="D5660" s="2" t="s">
        <v>3255</v>
      </c>
    </row>
    <row r="5661" spans="1:4" ht="12.95" customHeight="1" x14ac:dyDescent="0.25">
      <c r="A5661" s="2" t="s">
        <v>885</v>
      </c>
      <c r="B5661" s="2" t="s">
        <v>977</v>
      </c>
      <c r="C5661" s="5" t="s">
        <v>1013</v>
      </c>
      <c r="D5661" s="2" t="s">
        <v>3256</v>
      </c>
    </row>
    <row r="5662" spans="1:4" ht="12.95" customHeight="1" x14ac:dyDescent="0.25">
      <c r="A5662" s="2" t="s">
        <v>885</v>
      </c>
      <c r="B5662" s="2" t="s">
        <v>977</v>
      </c>
      <c r="C5662" s="5" t="s">
        <v>1005</v>
      </c>
      <c r="D5662" s="2" t="s">
        <v>1037</v>
      </c>
    </row>
    <row r="5663" spans="1:4" ht="12.95" customHeight="1" x14ac:dyDescent="0.25">
      <c r="A5663" s="2" t="s">
        <v>887</v>
      </c>
      <c r="B5663" s="2" t="s">
        <v>1040</v>
      </c>
      <c r="C5663" s="5" t="s">
        <v>978</v>
      </c>
      <c r="D5663" s="2" t="s">
        <v>979</v>
      </c>
    </row>
    <row r="5664" spans="1:4" ht="12.95" customHeight="1" x14ac:dyDescent="0.25">
      <c r="A5664" s="2" t="s">
        <v>887</v>
      </c>
      <c r="B5664" s="2" t="s">
        <v>1040</v>
      </c>
      <c r="C5664" s="5" t="s">
        <v>980</v>
      </c>
      <c r="D5664" s="2" t="s">
        <v>981</v>
      </c>
    </row>
    <row r="5665" spans="1:4" ht="12.95" customHeight="1" x14ac:dyDescent="0.25">
      <c r="A5665" s="2" t="s">
        <v>887</v>
      </c>
      <c r="B5665" s="2" t="s">
        <v>1040</v>
      </c>
      <c r="C5665" s="5" t="s">
        <v>982</v>
      </c>
      <c r="D5665" s="2" t="s">
        <v>983</v>
      </c>
    </row>
    <row r="5666" spans="1:4" ht="12.95" customHeight="1" x14ac:dyDescent="0.25">
      <c r="A5666" s="2" t="s">
        <v>887</v>
      </c>
      <c r="B5666" s="2" t="s">
        <v>1040</v>
      </c>
      <c r="C5666" s="5" t="s">
        <v>984</v>
      </c>
      <c r="D5666" s="2" t="s">
        <v>1063</v>
      </c>
    </row>
    <row r="5667" spans="1:4" ht="12.95" customHeight="1" x14ac:dyDescent="0.25">
      <c r="A5667" s="2" t="s">
        <v>887</v>
      </c>
      <c r="B5667" s="2" t="s">
        <v>1040</v>
      </c>
      <c r="C5667" s="5" t="s">
        <v>986</v>
      </c>
      <c r="D5667" s="2" t="s">
        <v>1064</v>
      </c>
    </row>
    <row r="5668" spans="1:4" ht="12.95" customHeight="1" x14ac:dyDescent="0.25">
      <c r="A5668" s="2" t="s">
        <v>887</v>
      </c>
      <c r="B5668" s="2" t="s">
        <v>1040</v>
      </c>
      <c r="C5668" s="5" t="s">
        <v>988</v>
      </c>
      <c r="D5668" s="2" t="s">
        <v>6146</v>
      </c>
    </row>
    <row r="5669" spans="1:4" ht="12.95" customHeight="1" x14ac:dyDescent="0.25">
      <c r="A5669" s="2" t="s">
        <v>887</v>
      </c>
      <c r="B5669" s="2" t="s">
        <v>1040</v>
      </c>
      <c r="C5669" s="5" t="s">
        <v>990</v>
      </c>
      <c r="D5669" s="2" t="s">
        <v>6147</v>
      </c>
    </row>
    <row r="5670" spans="1:4" ht="12.95" customHeight="1" x14ac:dyDescent="0.25">
      <c r="A5670" s="2" t="s">
        <v>887</v>
      </c>
      <c r="B5670" s="2" t="s">
        <v>1040</v>
      </c>
      <c r="C5670" s="5" t="s">
        <v>992</v>
      </c>
      <c r="D5670" s="2" t="s">
        <v>1046</v>
      </c>
    </row>
    <row r="5671" spans="1:4" ht="12.95" customHeight="1" x14ac:dyDescent="0.25">
      <c r="A5671" s="2" t="s">
        <v>889</v>
      </c>
      <c r="B5671" s="2" t="s">
        <v>1154</v>
      </c>
      <c r="C5671" s="5" t="s">
        <v>996</v>
      </c>
      <c r="D5671" s="2" t="s">
        <v>997</v>
      </c>
    </row>
    <row r="5672" spans="1:4" ht="12.95" customHeight="1" x14ac:dyDescent="0.25">
      <c r="A5672" s="2" t="s">
        <v>889</v>
      </c>
      <c r="B5672" s="2" t="s">
        <v>1154</v>
      </c>
      <c r="C5672" s="5" t="s">
        <v>982</v>
      </c>
      <c r="D5672" s="2" t="s">
        <v>983</v>
      </c>
    </row>
    <row r="5673" spans="1:4" ht="12.95" customHeight="1" x14ac:dyDescent="0.25">
      <c r="A5673" s="2" t="s">
        <v>889</v>
      </c>
      <c r="B5673" s="2" t="s">
        <v>1154</v>
      </c>
      <c r="C5673" s="5" t="s">
        <v>984</v>
      </c>
      <c r="D5673" s="2" t="s">
        <v>6148</v>
      </c>
    </row>
    <row r="5674" spans="1:4" ht="12.95" customHeight="1" x14ac:dyDescent="0.25">
      <c r="A5674" s="2" t="s">
        <v>889</v>
      </c>
      <c r="B5674" s="2" t="s">
        <v>1154</v>
      </c>
      <c r="C5674" s="5" t="s">
        <v>986</v>
      </c>
      <c r="D5674" s="2" t="s">
        <v>3019</v>
      </c>
    </row>
    <row r="5675" spans="1:4" ht="12.95" customHeight="1" x14ac:dyDescent="0.25">
      <c r="A5675" s="2" t="s">
        <v>889</v>
      </c>
      <c r="B5675" s="2" t="s">
        <v>1154</v>
      </c>
      <c r="C5675" s="5" t="s">
        <v>988</v>
      </c>
      <c r="D5675" s="2" t="s">
        <v>3020</v>
      </c>
    </row>
    <row r="5676" spans="1:4" ht="12.95" customHeight="1" x14ac:dyDescent="0.25">
      <c r="A5676" s="2" t="s">
        <v>889</v>
      </c>
      <c r="B5676" s="2" t="s">
        <v>1154</v>
      </c>
      <c r="C5676" s="5" t="s">
        <v>990</v>
      </c>
      <c r="D5676" s="2" t="s">
        <v>3021</v>
      </c>
    </row>
    <row r="5677" spans="1:4" ht="12.95" customHeight="1" x14ac:dyDescent="0.25">
      <c r="A5677" s="2" t="s">
        <v>889</v>
      </c>
      <c r="B5677" s="2" t="s">
        <v>1154</v>
      </c>
      <c r="C5677" s="5" t="s">
        <v>992</v>
      </c>
      <c r="D5677" s="2" t="s">
        <v>3022</v>
      </c>
    </row>
    <row r="5678" spans="1:4" ht="12.95" customHeight="1" x14ac:dyDescent="0.25">
      <c r="A5678" s="2" t="s">
        <v>889</v>
      </c>
      <c r="B5678" s="2" t="s">
        <v>1154</v>
      </c>
      <c r="C5678" s="5" t="s">
        <v>994</v>
      </c>
      <c r="D5678" s="2" t="s">
        <v>3023</v>
      </c>
    </row>
    <row r="5679" spans="1:4" ht="12.95" customHeight="1" x14ac:dyDescent="0.25">
      <c r="A5679" s="2" t="s">
        <v>889</v>
      </c>
      <c r="B5679" s="2" t="s">
        <v>1154</v>
      </c>
      <c r="C5679" s="5" t="s">
        <v>1003</v>
      </c>
      <c r="D5679" s="2" t="s">
        <v>3024</v>
      </c>
    </row>
    <row r="5680" spans="1:4" ht="12.95" customHeight="1" x14ac:dyDescent="0.25">
      <c r="A5680" s="2" t="s">
        <v>889</v>
      </c>
      <c r="B5680" s="2" t="s">
        <v>1154</v>
      </c>
      <c r="C5680" s="5" t="s">
        <v>1013</v>
      </c>
      <c r="D5680" s="2" t="s">
        <v>3025</v>
      </c>
    </row>
    <row r="5681" spans="1:4" ht="12.95" customHeight="1" x14ac:dyDescent="0.25">
      <c r="A5681" s="2" t="s">
        <v>889</v>
      </c>
      <c r="B5681" s="2" t="s">
        <v>1154</v>
      </c>
      <c r="C5681" s="5" t="s">
        <v>1015</v>
      </c>
      <c r="D5681" s="2" t="s">
        <v>3026</v>
      </c>
    </row>
    <row r="5682" spans="1:4" ht="12.95" customHeight="1" x14ac:dyDescent="0.25">
      <c r="A5682" s="2" t="s">
        <v>889</v>
      </c>
      <c r="B5682" s="2" t="s">
        <v>1154</v>
      </c>
      <c r="C5682" s="5" t="s">
        <v>1017</v>
      </c>
      <c r="D5682" s="2" t="s">
        <v>3027</v>
      </c>
    </row>
    <row r="5683" spans="1:4" ht="12.95" customHeight="1" x14ac:dyDescent="0.25">
      <c r="A5683" s="2" t="s">
        <v>889</v>
      </c>
      <c r="B5683" s="2" t="s">
        <v>1154</v>
      </c>
      <c r="C5683" s="5" t="s">
        <v>1019</v>
      </c>
      <c r="D5683" s="2" t="s">
        <v>3028</v>
      </c>
    </row>
    <row r="5684" spans="1:4" ht="12.95" customHeight="1" x14ac:dyDescent="0.25">
      <c r="A5684" s="2" t="s">
        <v>889</v>
      </c>
      <c r="B5684" s="2" t="s">
        <v>1154</v>
      </c>
      <c r="C5684" s="5" t="s">
        <v>1021</v>
      </c>
      <c r="D5684" s="2" t="s">
        <v>3029</v>
      </c>
    </row>
    <row r="5685" spans="1:4" ht="12.95" customHeight="1" x14ac:dyDescent="0.25">
      <c r="A5685" s="2" t="s">
        <v>889</v>
      </c>
      <c r="B5685" s="2" t="s">
        <v>1154</v>
      </c>
      <c r="C5685" s="5" t="s">
        <v>1023</v>
      </c>
      <c r="D5685" s="2" t="s">
        <v>3030</v>
      </c>
    </row>
    <row r="5686" spans="1:4" ht="12.95" customHeight="1" x14ac:dyDescent="0.25">
      <c r="A5686" s="2" t="s">
        <v>889</v>
      </c>
      <c r="B5686" s="2" t="s">
        <v>1154</v>
      </c>
      <c r="C5686" s="5" t="s">
        <v>1025</v>
      </c>
      <c r="D5686" s="2" t="s">
        <v>3031</v>
      </c>
    </row>
    <row r="5687" spans="1:4" ht="12.95" customHeight="1" x14ac:dyDescent="0.25">
      <c r="A5687" s="2" t="s">
        <v>889</v>
      </c>
      <c r="B5687" s="2" t="s">
        <v>1154</v>
      </c>
      <c r="C5687" s="5" t="s">
        <v>1027</v>
      </c>
      <c r="D5687" s="2" t="s">
        <v>3032</v>
      </c>
    </row>
    <row r="5688" spans="1:4" ht="12.95" customHeight="1" x14ac:dyDescent="0.25">
      <c r="A5688" s="2" t="s">
        <v>889</v>
      </c>
      <c r="B5688" s="2" t="s">
        <v>1154</v>
      </c>
      <c r="C5688" s="5" t="s">
        <v>1005</v>
      </c>
      <c r="D5688" s="2" t="s">
        <v>6149</v>
      </c>
    </row>
    <row r="5689" spans="1:4" ht="12.95" customHeight="1" x14ac:dyDescent="0.25">
      <c r="A5689" s="2" t="s">
        <v>892</v>
      </c>
      <c r="B5689" s="2" t="s">
        <v>1007</v>
      </c>
      <c r="C5689" s="5" t="s">
        <v>978</v>
      </c>
      <c r="D5689" s="2" t="s">
        <v>979</v>
      </c>
    </row>
    <row r="5690" spans="1:4" ht="12.95" customHeight="1" x14ac:dyDescent="0.25">
      <c r="A5690" s="2" t="s">
        <v>892</v>
      </c>
      <c r="B5690" s="2" t="s">
        <v>1007</v>
      </c>
      <c r="C5690" s="5" t="s">
        <v>980</v>
      </c>
      <c r="D5690" s="2" t="s">
        <v>981</v>
      </c>
    </row>
    <row r="5691" spans="1:4" ht="12.95" customHeight="1" x14ac:dyDescent="0.25">
      <c r="A5691" s="2" t="s">
        <v>892</v>
      </c>
      <c r="B5691" s="2" t="s">
        <v>1007</v>
      </c>
      <c r="C5691" s="5" t="s">
        <v>984</v>
      </c>
      <c r="D5691" s="2" t="s">
        <v>3018</v>
      </c>
    </row>
    <row r="5692" spans="1:4" ht="12.95" customHeight="1" x14ac:dyDescent="0.25">
      <c r="A5692" s="2" t="s">
        <v>892</v>
      </c>
      <c r="B5692" s="2" t="s">
        <v>1007</v>
      </c>
      <c r="C5692" s="5" t="s">
        <v>986</v>
      </c>
      <c r="D5692" s="2" t="s">
        <v>3019</v>
      </c>
    </row>
    <row r="5693" spans="1:4" ht="12.95" customHeight="1" x14ac:dyDescent="0.25">
      <c r="A5693" s="2" t="s">
        <v>892</v>
      </c>
      <c r="B5693" s="2" t="s">
        <v>1007</v>
      </c>
      <c r="C5693" s="5" t="s">
        <v>988</v>
      </c>
      <c r="D5693" s="2" t="s">
        <v>3020</v>
      </c>
    </row>
    <row r="5694" spans="1:4" ht="12.95" customHeight="1" x14ac:dyDescent="0.25">
      <c r="A5694" s="2" t="s">
        <v>892</v>
      </c>
      <c r="B5694" s="2" t="s">
        <v>1007</v>
      </c>
      <c r="C5694" s="5" t="s">
        <v>990</v>
      </c>
      <c r="D5694" s="2" t="s">
        <v>3021</v>
      </c>
    </row>
    <row r="5695" spans="1:4" ht="12.95" customHeight="1" x14ac:dyDescent="0.25">
      <c r="A5695" s="2" t="s">
        <v>892</v>
      </c>
      <c r="B5695" s="2" t="s">
        <v>1007</v>
      </c>
      <c r="C5695" s="5" t="s">
        <v>992</v>
      </c>
      <c r="D5695" s="2" t="s">
        <v>3022</v>
      </c>
    </row>
    <row r="5696" spans="1:4" ht="12.95" customHeight="1" x14ac:dyDescent="0.25">
      <c r="A5696" s="2" t="s">
        <v>892</v>
      </c>
      <c r="B5696" s="2" t="s">
        <v>1007</v>
      </c>
      <c r="C5696" s="5" t="s">
        <v>994</v>
      </c>
      <c r="D5696" s="2" t="s">
        <v>3023</v>
      </c>
    </row>
    <row r="5697" spans="1:4" ht="12.95" customHeight="1" x14ac:dyDescent="0.25">
      <c r="A5697" s="2" t="s">
        <v>892</v>
      </c>
      <c r="B5697" s="2" t="s">
        <v>1007</v>
      </c>
      <c r="C5697" s="5" t="s">
        <v>1003</v>
      </c>
      <c r="D5697" s="2" t="s">
        <v>3024</v>
      </c>
    </row>
    <row r="5698" spans="1:4" ht="12.95" customHeight="1" x14ac:dyDescent="0.25">
      <c r="A5698" s="2" t="s">
        <v>892</v>
      </c>
      <c r="B5698" s="2" t="s">
        <v>1007</v>
      </c>
      <c r="C5698" s="5" t="s">
        <v>1013</v>
      </c>
      <c r="D5698" s="2" t="s">
        <v>3025</v>
      </c>
    </row>
    <row r="5699" spans="1:4" ht="12.95" customHeight="1" x14ac:dyDescent="0.25">
      <c r="A5699" s="2" t="s">
        <v>892</v>
      </c>
      <c r="B5699" s="2" t="s">
        <v>1007</v>
      </c>
      <c r="C5699" s="5" t="s">
        <v>1015</v>
      </c>
      <c r="D5699" s="2" t="s">
        <v>3026</v>
      </c>
    </row>
    <row r="5700" spans="1:4" ht="12.95" customHeight="1" x14ac:dyDescent="0.25">
      <c r="A5700" s="2" t="s">
        <v>892</v>
      </c>
      <c r="B5700" s="2" t="s">
        <v>1007</v>
      </c>
      <c r="C5700" s="5" t="s">
        <v>1017</v>
      </c>
      <c r="D5700" s="2" t="s">
        <v>3027</v>
      </c>
    </row>
    <row r="5701" spans="1:4" ht="12.95" customHeight="1" x14ac:dyDescent="0.25">
      <c r="A5701" s="2" t="s">
        <v>892</v>
      </c>
      <c r="B5701" s="2" t="s">
        <v>1007</v>
      </c>
      <c r="C5701" s="5" t="s">
        <v>1025</v>
      </c>
      <c r="D5701" s="2" t="s">
        <v>3028</v>
      </c>
    </row>
    <row r="5702" spans="1:4" ht="12.95" customHeight="1" x14ac:dyDescent="0.25">
      <c r="A5702" s="2" t="s">
        <v>892</v>
      </c>
      <c r="B5702" s="2" t="s">
        <v>1007</v>
      </c>
      <c r="C5702" s="5" t="s">
        <v>1027</v>
      </c>
      <c r="D5702" s="2" t="s">
        <v>3029</v>
      </c>
    </row>
    <row r="5703" spans="1:4" ht="12.95" customHeight="1" x14ac:dyDescent="0.25">
      <c r="A5703" s="2" t="s">
        <v>892</v>
      </c>
      <c r="B5703" s="2" t="s">
        <v>1007</v>
      </c>
      <c r="C5703" s="5" t="s">
        <v>1029</v>
      </c>
      <c r="D5703" s="2" t="s">
        <v>3030</v>
      </c>
    </row>
    <row r="5704" spans="1:4" ht="12.95" customHeight="1" x14ac:dyDescent="0.25">
      <c r="A5704" s="2" t="s">
        <v>892</v>
      </c>
      <c r="B5704" s="2" t="s">
        <v>1007</v>
      </c>
      <c r="C5704" s="5" t="s">
        <v>1031</v>
      </c>
      <c r="D5704" s="2" t="s">
        <v>3031</v>
      </c>
    </row>
    <row r="5705" spans="1:4" ht="12.95" customHeight="1" x14ac:dyDescent="0.25">
      <c r="A5705" s="2" t="s">
        <v>892</v>
      </c>
      <c r="B5705" s="2" t="s">
        <v>1007</v>
      </c>
      <c r="C5705" s="5" t="s">
        <v>1033</v>
      </c>
      <c r="D5705" s="2" t="s">
        <v>3032</v>
      </c>
    </row>
    <row r="5706" spans="1:4" ht="12.95" customHeight="1" x14ac:dyDescent="0.25">
      <c r="A5706" s="2" t="s">
        <v>892</v>
      </c>
      <c r="B5706" s="2" t="s">
        <v>1007</v>
      </c>
      <c r="C5706" s="5" t="s">
        <v>1005</v>
      </c>
      <c r="D5706" s="2" t="s">
        <v>6149</v>
      </c>
    </row>
    <row r="5707" spans="1:4" ht="12.95" customHeight="1" x14ac:dyDescent="0.25">
      <c r="A5707" s="2" t="s">
        <v>897</v>
      </c>
      <c r="B5707" s="2" t="s">
        <v>1154</v>
      </c>
      <c r="C5707" s="5" t="s">
        <v>996</v>
      </c>
      <c r="D5707" s="2" t="s">
        <v>997</v>
      </c>
    </row>
    <row r="5708" spans="1:4" ht="12.95" customHeight="1" x14ac:dyDescent="0.25">
      <c r="A5708" s="2" t="s">
        <v>897</v>
      </c>
      <c r="B5708" s="2" t="s">
        <v>1154</v>
      </c>
      <c r="C5708" s="5" t="s">
        <v>978</v>
      </c>
      <c r="D5708" s="2" t="s">
        <v>979</v>
      </c>
    </row>
    <row r="5709" spans="1:4" ht="12.95" customHeight="1" x14ac:dyDescent="0.25">
      <c r="A5709" s="2" t="s">
        <v>897</v>
      </c>
      <c r="B5709" s="2" t="s">
        <v>1154</v>
      </c>
      <c r="C5709" s="5" t="s">
        <v>980</v>
      </c>
      <c r="D5709" s="2" t="s">
        <v>981</v>
      </c>
    </row>
    <row r="5710" spans="1:4" ht="12.95" customHeight="1" x14ac:dyDescent="0.25">
      <c r="A5710" s="2" t="s">
        <v>897</v>
      </c>
      <c r="B5710" s="2" t="s">
        <v>1154</v>
      </c>
      <c r="C5710" s="5" t="s">
        <v>982</v>
      </c>
      <c r="D5710" s="2" t="s">
        <v>983</v>
      </c>
    </row>
    <row r="5711" spans="1:4" ht="12.95" customHeight="1" x14ac:dyDescent="0.25">
      <c r="A5711" s="2" t="s">
        <v>897</v>
      </c>
      <c r="B5711" s="2" t="s">
        <v>1154</v>
      </c>
      <c r="C5711" s="5" t="s">
        <v>984</v>
      </c>
      <c r="D5711" s="2" t="s">
        <v>6150</v>
      </c>
    </row>
    <row r="5712" spans="1:4" ht="12.95" customHeight="1" x14ac:dyDescent="0.25">
      <c r="A5712" s="2" t="s">
        <v>897</v>
      </c>
      <c r="B5712" s="2" t="s">
        <v>1154</v>
      </c>
      <c r="C5712" s="5" t="s">
        <v>986</v>
      </c>
      <c r="D5712" s="2" t="s">
        <v>6151</v>
      </c>
    </row>
    <row r="5713" spans="1:4" ht="12.95" customHeight="1" x14ac:dyDescent="0.25">
      <c r="A5713" s="2" t="s">
        <v>897</v>
      </c>
      <c r="B5713" s="2" t="s">
        <v>1154</v>
      </c>
      <c r="C5713" s="5" t="s">
        <v>988</v>
      </c>
      <c r="D5713" s="2" t="s">
        <v>6152</v>
      </c>
    </row>
    <row r="5714" spans="1:4" ht="12.95" customHeight="1" x14ac:dyDescent="0.25">
      <c r="A5714" s="2" t="s">
        <v>897</v>
      </c>
      <c r="B5714" s="2" t="s">
        <v>1154</v>
      </c>
      <c r="C5714" s="5" t="s">
        <v>990</v>
      </c>
      <c r="D5714" s="2" t="s">
        <v>6153</v>
      </c>
    </row>
    <row r="5715" spans="1:4" ht="12.95" customHeight="1" x14ac:dyDescent="0.25">
      <c r="A5715" s="2" t="s">
        <v>897</v>
      </c>
      <c r="B5715" s="2" t="s">
        <v>1154</v>
      </c>
      <c r="C5715" s="5" t="s">
        <v>992</v>
      </c>
      <c r="D5715" s="2" t="s">
        <v>6154</v>
      </c>
    </row>
    <row r="5716" spans="1:4" ht="12.95" customHeight="1" x14ac:dyDescent="0.25">
      <c r="A5716" s="2" t="s">
        <v>897</v>
      </c>
      <c r="B5716" s="2" t="s">
        <v>1154</v>
      </c>
      <c r="C5716" s="5" t="s">
        <v>994</v>
      </c>
      <c r="D5716" s="2" t="s">
        <v>6155</v>
      </c>
    </row>
    <row r="5717" spans="1:4" ht="12.95" customHeight="1" x14ac:dyDescent="0.25">
      <c r="A5717" s="2" t="s">
        <v>897</v>
      </c>
      <c r="B5717" s="2" t="s">
        <v>1154</v>
      </c>
      <c r="C5717" s="5" t="s">
        <v>1003</v>
      </c>
      <c r="D5717" s="2" t="s">
        <v>6156</v>
      </c>
    </row>
    <row r="5718" spans="1:4" ht="12.95" customHeight="1" x14ac:dyDescent="0.25">
      <c r="A5718" s="2" t="s">
        <v>897</v>
      </c>
      <c r="B5718" s="2" t="s">
        <v>1154</v>
      </c>
      <c r="C5718" s="5" t="s">
        <v>1013</v>
      </c>
      <c r="D5718" s="2" t="s">
        <v>6157</v>
      </c>
    </row>
    <row r="5719" spans="1:4" ht="12.95" customHeight="1" x14ac:dyDescent="0.25">
      <c r="A5719" s="2" t="s">
        <v>897</v>
      </c>
      <c r="B5719" s="2" t="s">
        <v>1154</v>
      </c>
      <c r="C5719" s="5" t="s">
        <v>1015</v>
      </c>
      <c r="D5719" s="2" t="s">
        <v>6158</v>
      </c>
    </row>
    <row r="5720" spans="1:4" ht="12.95" customHeight="1" x14ac:dyDescent="0.25">
      <c r="A5720" s="2" t="s">
        <v>897</v>
      </c>
      <c r="B5720" s="2" t="s">
        <v>1154</v>
      </c>
      <c r="C5720" s="5" t="s">
        <v>1017</v>
      </c>
      <c r="D5720" s="2" t="s">
        <v>6159</v>
      </c>
    </row>
    <row r="5721" spans="1:4" ht="12.95" customHeight="1" x14ac:dyDescent="0.25">
      <c r="A5721" s="2" t="s">
        <v>897</v>
      </c>
      <c r="B5721" s="2" t="s">
        <v>1154</v>
      </c>
      <c r="C5721" s="5" t="s">
        <v>1019</v>
      </c>
      <c r="D5721" s="2" t="s">
        <v>6160</v>
      </c>
    </row>
    <row r="5722" spans="1:4" ht="12.95" customHeight="1" x14ac:dyDescent="0.25">
      <c r="A5722" s="2" t="s">
        <v>897</v>
      </c>
      <c r="B5722" s="2" t="s">
        <v>1154</v>
      </c>
      <c r="C5722" s="5" t="s">
        <v>1021</v>
      </c>
      <c r="D5722" s="2" t="s">
        <v>6161</v>
      </c>
    </row>
    <row r="5723" spans="1:4" ht="12.95" customHeight="1" x14ac:dyDescent="0.25">
      <c r="A5723" s="2" t="s">
        <v>897</v>
      </c>
      <c r="B5723" s="2" t="s">
        <v>1154</v>
      </c>
      <c r="C5723" s="5" t="s">
        <v>1023</v>
      </c>
      <c r="D5723" s="2" t="s">
        <v>6162</v>
      </c>
    </row>
    <row r="5724" spans="1:4" ht="12.95" customHeight="1" x14ac:dyDescent="0.25">
      <c r="A5724" s="2" t="s">
        <v>897</v>
      </c>
      <c r="B5724" s="2" t="s">
        <v>1154</v>
      </c>
      <c r="C5724" s="5" t="s">
        <v>1025</v>
      </c>
      <c r="D5724" s="2" t="s">
        <v>6163</v>
      </c>
    </row>
    <row r="5725" spans="1:4" ht="12.95" customHeight="1" x14ac:dyDescent="0.25">
      <c r="A5725" s="2" t="s">
        <v>897</v>
      </c>
      <c r="B5725" s="2" t="s">
        <v>1154</v>
      </c>
      <c r="C5725" s="5" t="s">
        <v>1027</v>
      </c>
      <c r="D5725" s="2" t="s">
        <v>6164</v>
      </c>
    </row>
    <row r="5726" spans="1:4" ht="12.95" customHeight="1" x14ac:dyDescent="0.25">
      <c r="A5726" s="2" t="s">
        <v>897</v>
      </c>
      <c r="B5726" s="2" t="s">
        <v>1154</v>
      </c>
      <c r="C5726" s="5" t="s">
        <v>1029</v>
      </c>
      <c r="D5726" s="2" t="s">
        <v>6165</v>
      </c>
    </row>
    <row r="5727" spans="1:4" ht="12.95" customHeight="1" x14ac:dyDescent="0.25">
      <c r="A5727" s="2" t="s">
        <v>897</v>
      </c>
      <c r="B5727" s="2" t="s">
        <v>1154</v>
      </c>
      <c r="C5727" s="5" t="s">
        <v>1031</v>
      </c>
      <c r="D5727" s="2" t="s">
        <v>6166</v>
      </c>
    </row>
    <row r="5728" spans="1:4" ht="12.95" customHeight="1" x14ac:dyDescent="0.25">
      <c r="A5728" s="2" t="s">
        <v>897</v>
      </c>
      <c r="B5728" s="2" t="s">
        <v>1154</v>
      </c>
      <c r="C5728" s="5" t="s">
        <v>1033</v>
      </c>
      <c r="D5728" s="2" t="s">
        <v>6167</v>
      </c>
    </row>
    <row r="5729" spans="1:4" ht="12.95" customHeight="1" x14ac:dyDescent="0.25">
      <c r="A5729" s="2" t="s">
        <v>897</v>
      </c>
      <c r="B5729" s="2" t="s">
        <v>1154</v>
      </c>
      <c r="C5729" s="5" t="s">
        <v>1035</v>
      </c>
      <c r="D5729" s="2" t="s">
        <v>6168</v>
      </c>
    </row>
    <row r="5730" spans="1:4" ht="12.95" customHeight="1" x14ac:dyDescent="0.25">
      <c r="A5730" s="2" t="s">
        <v>897</v>
      </c>
      <c r="B5730" s="2" t="s">
        <v>1154</v>
      </c>
      <c r="C5730" s="5" t="s">
        <v>1005</v>
      </c>
      <c r="D5730" s="2" t="s">
        <v>1037</v>
      </c>
    </row>
    <row r="5731" spans="1:4" ht="12.95" customHeight="1" x14ac:dyDescent="0.25">
      <c r="A5731" s="2" t="s">
        <v>900</v>
      </c>
      <c r="B5731" s="2" t="s">
        <v>1154</v>
      </c>
      <c r="C5731" s="5" t="s">
        <v>996</v>
      </c>
      <c r="D5731" s="2" t="s">
        <v>997</v>
      </c>
    </row>
    <row r="5732" spans="1:4" ht="12.95" customHeight="1" x14ac:dyDescent="0.25">
      <c r="A5732" s="2" t="s">
        <v>900</v>
      </c>
      <c r="B5732" s="2" t="s">
        <v>1154</v>
      </c>
      <c r="C5732" s="5" t="s">
        <v>982</v>
      </c>
      <c r="D5732" s="2" t="s">
        <v>983</v>
      </c>
    </row>
    <row r="5733" spans="1:4" ht="12.95" customHeight="1" x14ac:dyDescent="0.25">
      <c r="A5733" s="2" t="s">
        <v>902</v>
      </c>
      <c r="B5733" s="2" t="s">
        <v>1154</v>
      </c>
      <c r="C5733" s="5" t="s">
        <v>996</v>
      </c>
      <c r="D5733" s="2" t="s">
        <v>997</v>
      </c>
    </row>
    <row r="5734" spans="1:4" ht="12.95" customHeight="1" x14ac:dyDescent="0.25">
      <c r="A5734" s="2" t="s">
        <v>902</v>
      </c>
      <c r="B5734" s="2" t="s">
        <v>1154</v>
      </c>
      <c r="C5734" s="5" t="s">
        <v>978</v>
      </c>
      <c r="D5734" s="2" t="s">
        <v>979</v>
      </c>
    </row>
    <row r="5735" spans="1:4" ht="12.95" customHeight="1" x14ac:dyDescent="0.25">
      <c r="A5735" s="2" t="s">
        <v>902</v>
      </c>
      <c r="B5735" s="2" t="s">
        <v>1154</v>
      </c>
      <c r="C5735" s="5" t="s">
        <v>980</v>
      </c>
      <c r="D5735" s="2" t="s">
        <v>981</v>
      </c>
    </row>
    <row r="5736" spans="1:4" ht="12.95" customHeight="1" x14ac:dyDescent="0.25">
      <c r="A5736" s="2" t="s">
        <v>902</v>
      </c>
      <c r="B5736" s="2" t="s">
        <v>1154</v>
      </c>
      <c r="C5736" s="5" t="s">
        <v>982</v>
      </c>
      <c r="D5736" s="2" t="s">
        <v>983</v>
      </c>
    </row>
    <row r="5737" spans="1:4" ht="12.95" customHeight="1" x14ac:dyDescent="0.25">
      <c r="A5737" s="2" t="s">
        <v>902</v>
      </c>
      <c r="B5737" s="2" t="s">
        <v>1154</v>
      </c>
      <c r="C5737" s="5" t="s">
        <v>984</v>
      </c>
      <c r="D5737" s="2" t="s">
        <v>6150</v>
      </c>
    </row>
    <row r="5738" spans="1:4" ht="12.95" customHeight="1" x14ac:dyDescent="0.25">
      <c r="A5738" s="2" t="s">
        <v>902</v>
      </c>
      <c r="B5738" s="2" t="s">
        <v>1154</v>
      </c>
      <c r="C5738" s="5" t="s">
        <v>986</v>
      </c>
      <c r="D5738" s="2" t="s">
        <v>6151</v>
      </c>
    </row>
    <row r="5739" spans="1:4" ht="12.95" customHeight="1" x14ac:dyDescent="0.25">
      <c r="A5739" s="2" t="s">
        <v>902</v>
      </c>
      <c r="B5739" s="2" t="s">
        <v>1154</v>
      </c>
      <c r="C5739" s="5" t="s">
        <v>988</v>
      </c>
      <c r="D5739" s="2" t="s">
        <v>6152</v>
      </c>
    </row>
    <row r="5740" spans="1:4" ht="12.95" customHeight="1" x14ac:dyDescent="0.25">
      <c r="A5740" s="2" t="s">
        <v>902</v>
      </c>
      <c r="B5740" s="2" t="s">
        <v>1154</v>
      </c>
      <c r="C5740" s="5" t="s">
        <v>990</v>
      </c>
      <c r="D5740" s="2" t="s">
        <v>6153</v>
      </c>
    </row>
    <row r="5741" spans="1:4" ht="12.95" customHeight="1" x14ac:dyDescent="0.25">
      <c r="A5741" s="2" t="s">
        <v>902</v>
      </c>
      <c r="B5741" s="2" t="s">
        <v>1154</v>
      </c>
      <c r="C5741" s="5" t="s">
        <v>992</v>
      </c>
      <c r="D5741" s="2" t="s">
        <v>6154</v>
      </c>
    </row>
    <row r="5742" spans="1:4" ht="12.95" customHeight="1" x14ac:dyDescent="0.25">
      <c r="A5742" s="2" t="s">
        <v>902</v>
      </c>
      <c r="B5742" s="2" t="s">
        <v>1154</v>
      </c>
      <c r="C5742" s="5" t="s">
        <v>994</v>
      </c>
      <c r="D5742" s="2" t="s">
        <v>6155</v>
      </c>
    </row>
    <row r="5743" spans="1:4" ht="12.95" customHeight="1" x14ac:dyDescent="0.25">
      <c r="A5743" s="2" t="s">
        <v>902</v>
      </c>
      <c r="B5743" s="2" t="s">
        <v>1154</v>
      </c>
      <c r="C5743" s="5" t="s">
        <v>1003</v>
      </c>
      <c r="D5743" s="2" t="s">
        <v>6156</v>
      </c>
    </row>
    <row r="5744" spans="1:4" ht="12.95" customHeight="1" x14ac:dyDescent="0.25">
      <c r="A5744" s="2" t="s">
        <v>902</v>
      </c>
      <c r="B5744" s="2" t="s">
        <v>1154</v>
      </c>
      <c r="C5744" s="5" t="s">
        <v>1013</v>
      </c>
      <c r="D5744" s="2" t="s">
        <v>6157</v>
      </c>
    </row>
    <row r="5745" spans="1:4" ht="12.95" customHeight="1" x14ac:dyDescent="0.25">
      <c r="A5745" s="2" t="s">
        <v>902</v>
      </c>
      <c r="B5745" s="2" t="s">
        <v>1154</v>
      </c>
      <c r="C5745" s="5" t="s">
        <v>1015</v>
      </c>
      <c r="D5745" s="2" t="s">
        <v>6158</v>
      </c>
    </row>
    <row r="5746" spans="1:4" ht="12.95" customHeight="1" x14ac:dyDescent="0.25">
      <c r="A5746" s="2" t="s">
        <v>902</v>
      </c>
      <c r="B5746" s="2" t="s">
        <v>1154</v>
      </c>
      <c r="C5746" s="5" t="s">
        <v>1017</v>
      </c>
      <c r="D5746" s="2" t="s">
        <v>6159</v>
      </c>
    </row>
    <row r="5747" spans="1:4" ht="12.95" customHeight="1" x14ac:dyDescent="0.25">
      <c r="A5747" s="2" t="s">
        <v>902</v>
      </c>
      <c r="B5747" s="2" t="s">
        <v>1154</v>
      </c>
      <c r="C5747" s="5" t="s">
        <v>1019</v>
      </c>
      <c r="D5747" s="2" t="s">
        <v>6160</v>
      </c>
    </row>
    <row r="5748" spans="1:4" ht="12.95" customHeight="1" x14ac:dyDescent="0.25">
      <c r="A5748" s="2" t="s">
        <v>902</v>
      </c>
      <c r="B5748" s="2" t="s">
        <v>1154</v>
      </c>
      <c r="C5748" s="5" t="s">
        <v>1021</v>
      </c>
      <c r="D5748" s="2" t="s">
        <v>6161</v>
      </c>
    </row>
    <row r="5749" spans="1:4" ht="12.95" customHeight="1" x14ac:dyDescent="0.25">
      <c r="A5749" s="2" t="s">
        <v>902</v>
      </c>
      <c r="B5749" s="2" t="s">
        <v>1154</v>
      </c>
      <c r="C5749" s="5" t="s">
        <v>1023</v>
      </c>
      <c r="D5749" s="2" t="s">
        <v>6162</v>
      </c>
    </row>
    <row r="5750" spans="1:4" ht="12.95" customHeight="1" x14ac:dyDescent="0.25">
      <c r="A5750" s="2" t="s">
        <v>902</v>
      </c>
      <c r="B5750" s="2" t="s">
        <v>1154</v>
      </c>
      <c r="C5750" s="5" t="s">
        <v>1025</v>
      </c>
      <c r="D5750" s="2" t="s">
        <v>6163</v>
      </c>
    </row>
    <row r="5751" spans="1:4" ht="12.95" customHeight="1" x14ac:dyDescent="0.25">
      <c r="A5751" s="2" t="s">
        <v>902</v>
      </c>
      <c r="B5751" s="2" t="s">
        <v>1154</v>
      </c>
      <c r="C5751" s="5" t="s">
        <v>1027</v>
      </c>
      <c r="D5751" s="2" t="s">
        <v>6164</v>
      </c>
    </row>
    <row r="5752" spans="1:4" ht="12.95" customHeight="1" x14ac:dyDescent="0.25">
      <c r="A5752" s="2" t="s">
        <v>902</v>
      </c>
      <c r="B5752" s="2" t="s">
        <v>1154</v>
      </c>
      <c r="C5752" s="5" t="s">
        <v>1029</v>
      </c>
      <c r="D5752" s="2" t="s">
        <v>6165</v>
      </c>
    </row>
    <row r="5753" spans="1:4" ht="12.95" customHeight="1" x14ac:dyDescent="0.25">
      <c r="A5753" s="2" t="s">
        <v>902</v>
      </c>
      <c r="B5753" s="2" t="s">
        <v>1154</v>
      </c>
      <c r="C5753" s="5" t="s">
        <v>1031</v>
      </c>
      <c r="D5753" s="2" t="s">
        <v>6166</v>
      </c>
    </row>
    <row r="5754" spans="1:4" ht="12.95" customHeight="1" x14ac:dyDescent="0.25">
      <c r="A5754" s="2" t="s">
        <v>902</v>
      </c>
      <c r="B5754" s="2" t="s">
        <v>1154</v>
      </c>
      <c r="C5754" s="5" t="s">
        <v>1033</v>
      </c>
      <c r="D5754" s="2" t="s">
        <v>6167</v>
      </c>
    </row>
    <row r="5755" spans="1:4" ht="12.95" customHeight="1" x14ac:dyDescent="0.25">
      <c r="A5755" s="2" t="s">
        <v>902</v>
      </c>
      <c r="B5755" s="2" t="s">
        <v>1154</v>
      </c>
      <c r="C5755" s="5" t="s">
        <v>1035</v>
      </c>
      <c r="D5755" s="2" t="s">
        <v>6168</v>
      </c>
    </row>
    <row r="5756" spans="1:4" ht="12.95" customHeight="1" x14ac:dyDescent="0.25">
      <c r="A5756" s="2" t="s">
        <v>902</v>
      </c>
      <c r="B5756" s="2" t="s">
        <v>1154</v>
      </c>
      <c r="C5756" s="5" t="s">
        <v>1005</v>
      </c>
      <c r="D5756" s="2" t="s">
        <v>1037</v>
      </c>
    </row>
    <row r="5757" spans="1:4" ht="12.95" customHeight="1" x14ac:dyDescent="0.25">
      <c r="A5757" s="2" t="s">
        <v>904</v>
      </c>
      <c r="B5757" s="2" t="s">
        <v>1154</v>
      </c>
      <c r="C5757" s="5" t="s">
        <v>984</v>
      </c>
      <c r="D5757" s="2" t="s">
        <v>6169</v>
      </c>
    </row>
    <row r="5758" spans="1:4" ht="12.95" customHeight="1" x14ac:dyDescent="0.25">
      <c r="A5758" s="2" t="s">
        <v>904</v>
      </c>
      <c r="B5758" s="2" t="s">
        <v>1154</v>
      </c>
      <c r="C5758" s="5" t="s">
        <v>1017</v>
      </c>
      <c r="D5758" s="2" t="s">
        <v>1008</v>
      </c>
    </row>
    <row r="5759" spans="1:4" ht="12.95" customHeight="1" x14ac:dyDescent="0.25">
      <c r="A5759" s="2" t="s">
        <v>904</v>
      </c>
      <c r="B5759" s="2" t="s">
        <v>1154</v>
      </c>
      <c r="C5759" s="5" t="s">
        <v>1177</v>
      </c>
      <c r="D5759" s="2" t="s">
        <v>6170</v>
      </c>
    </row>
    <row r="5760" spans="1:4" ht="12.95" customHeight="1" x14ac:dyDescent="0.25">
      <c r="A5760" s="2" t="s">
        <v>904</v>
      </c>
      <c r="B5760" s="2" t="s">
        <v>1154</v>
      </c>
      <c r="C5760" s="5" t="s">
        <v>1179</v>
      </c>
      <c r="D5760" s="2" t="s">
        <v>6171</v>
      </c>
    </row>
    <row r="5761" spans="1:4" ht="12.95" customHeight="1" x14ac:dyDescent="0.25">
      <c r="A5761" s="2" t="s">
        <v>904</v>
      </c>
      <c r="B5761" s="2" t="s">
        <v>1154</v>
      </c>
      <c r="C5761" s="5" t="s">
        <v>1181</v>
      </c>
      <c r="D5761" s="2" t="s">
        <v>6172</v>
      </c>
    </row>
    <row r="5762" spans="1:4" ht="12.95" customHeight="1" x14ac:dyDescent="0.25">
      <c r="A5762" s="2" t="s">
        <v>904</v>
      </c>
      <c r="B5762" s="2" t="s">
        <v>1154</v>
      </c>
      <c r="C5762" s="5" t="s">
        <v>1183</v>
      </c>
      <c r="D5762" s="2" t="s">
        <v>6173</v>
      </c>
    </row>
    <row r="5763" spans="1:4" ht="12.95" customHeight="1" x14ac:dyDescent="0.25">
      <c r="A5763" s="2" t="s">
        <v>904</v>
      </c>
      <c r="B5763" s="2" t="s">
        <v>1154</v>
      </c>
      <c r="C5763" s="5" t="s">
        <v>1185</v>
      </c>
      <c r="D5763" s="2" t="s">
        <v>6174</v>
      </c>
    </row>
    <row r="5764" spans="1:4" ht="12.95" customHeight="1" x14ac:dyDescent="0.25">
      <c r="A5764" s="2" t="s">
        <v>904</v>
      </c>
      <c r="B5764" s="2" t="s">
        <v>1154</v>
      </c>
      <c r="C5764" s="5" t="s">
        <v>1187</v>
      </c>
      <c r="D5764" s="2" t="s">
        <v>6175</v>
      </c>
    </row>
    <row r="5765" spans="1:4" ht="12.95" customHeight="1" x14ac:dyDescent="0.25">
      <c r="A5765" s="2" t="s">
        <v>904</v>
      </c>
      <c r="B5765" s="2" t="s">
        <v>1154</v>
      </c>
      <c r="C5765" s="5" t="s">
        <v>1189</v>
      </c>
      <c r="D5765" s="2" t="s">
        <v>6176</v>
      </c>
    </row>
    <row r="5766" spans="1:4" ht="12.95" customHeight="1" x14ac:dyDescent="0.25">
      <c r="A5766" s="2" t="s">
        <v>904</v>
      </c>
      <c r="B5766" s="2" t="s">
        <v>1154</v>
      </c>
      <c r="C5766" s="5" t="s">
        <v>1005</v>
      </c>
      <c r="D5766" s="2" t="s">
        <v>1037</v>
      </c>
    </row>
    <row r="5767" spans="1:4" ht="12.95" customHeight="1" x14ac:dyDescent="0.25">
      <c r="A5767" s="2" t="s">
        <v>906</v>
      </c>
      <c r="B5767" s="2" t="s">
        <v>1154</v>
      </c>
      <c r="C5767" s="5" t="s">
        <v>984</v>
      </c>
      <c r="D5767" s="2" t="s">
        <v>6177</v>
      </c>
    </row>
    <row r="5768" spans="1:4" ht="12.95" customHeight="1" x14ac:dyDescent="0.25">
      <c r="A5768" s="2" t="s">
        <v>906</v>
      </c>
      <c r="B5768" s="2" t="s">
        <v>1154</v>
      </c>
      <c r="C5768" s="5" t="s">
        <v>986</v>
      </c>
      <c r="D5768" s="2" t="s">
        <v>6178</v>
      </c>
    </row>
    <row r="5769" spans="1:4" ht="12.95" customHeight="1" x14ac:dyDescent="0.25">
      <c r="A5769" s="2" t="s">
        <v>906</v>
      </c>
      <c r="B5769" s="2" t="s">
        <v>1154</v>
      </c>
      <c r="C5769" s="5" t="s">
        <v>988</v>
      </c>
      <c r="D5769" s="2" t="s">
        <v>6179</v>
      </c>
    </row>
    <row r="5770" spans="1:4" ht="12.95" customHeight="1" x14ac:dyDescent="0.25">
      <c r="A5770" s="2" t="s">
        <v>906</v>
      </c>
      <c r="B5770" s="2" t="s">
        <v>1154</v>
      </c>
      <c r="C5770" s="5" t="s">
        <v>990</v>
      </c>
      <c r="D5770" s="2" t="s">
        <v>6180</v>
      </c>
    </row>
    <row r="5771" spans="1:4" ht="12.95" customHeight="1" x14ac:dyDescent="0.25">
      <c r="A5771" s="2" t="s">
        <v>906</v>
      </c>
      <c r="B5771" s="2" t="s">
        <v>1154</v>
      </c>
      <c r="C5771" s="5" t="s">
        <v>992</v>
      </c>
      <c r="D5771" s="2" t="s">
        <v>6181</v>
      </c>
    </row>
    <row r="5772" spans="1:4" ht="12.95" customHeight="1" x14ac:dyDescent="0.25">
      <c r="A5772" s="2" t="s">
        <v>906</v>
      </c>
      <c r="B5772" s="2" t="s">
        <v>1154</v>
      </c>
      <c r="C5772" s="5" t="s">
        <v>994</v>
      </c>
      <c r="D5772" s="2" t="s">
        <v>6182</v>
      </c>
    </row>
    <row r="5773" spans="1:4" ht="12.95" customHeight="1" x14ac:dyDescent="0.25">
      <c r="A5773" s="2" t="s">
        <v>906</v>
      </c>
      <c r="B5773" s="2" t="s">
        <v>1154</v>
      </c>
      <c r="C5773" s="5" t="s">
        <v>1013</v>
      </c>
      <c r="D5773" s="2" t="s">
        <v>6183</v>
      </c>
    </row>
    <row r="5774" spans="1:4" ht="12.95" customHeight="1" x14ac:dyDescent="0.25">
      <c r="A5774" s="2" t="s">
        <v>906</v>
      </c>
      <c r="B5774" s="2" t="s">
        <v>1154</v>
      </c>
      <c r="C5774" s="5" t="s">
        <v>1017</v>
      </c>
      <c r="D5774" s="2" t="s">
        <v>6184</v>
      </c>
    </row>
    <row r="5775" spans="1:4" ht="12.95" customHeight="1" x14ac:dyDescent="0.25">
      <c r="A5775" s="2" t="s">
        <v>906</v>
      </c>
      <c r="B5775" s="2" t="s">
        <v>1154</v>
      </c>
      <c r="C5775" s="5" t="s">
        <v>1019</v>
      </c>
      <c r="D5775" s="2" t="s">
        <v>3245</v>
      </c>
    </row>
    <row r="5776" spans="1:4" ht="12.95" customHeight="1" x14ac:dyDescent="0.25">
      <c r="A5776" s="2" t="s">
        <v>906</v>
      </c>
      <c r="B5776" s="2" t="s">
        <v>1154</v>
      </c>
      <c r="C5776" s="5" t="s">
        <v>3246</v>
      </c>
      <c r="D5776" s="2" t="s">
        <v>6185</v>
      </c>
    </row>
    <row r="5777" spans="1:4" ht="12.95" customHeight="1" x14ac:dyDescent="0.25">
      <c r="A5777" s="2" t="s">
        <v>908</v>
      </c>
      <c r="B5777" s="2" t="s">
        <v>1154</v>
      </c>
      <c r="C5777" s="5" t="s">
        <v>996</v>
      </c>
      <c r="D5777" s="2" t="s">
        <v>997</v>
      </c>
    </row>
    <row r="5778" spans="1:4" ht="12.95" customHeight="1" x14ac:dyDescent="0.25">
      <c r="A5778" s="2" t="s">
        <v>908</v>
      </c>
      <c r="B5778" s="2" t="s">
        <v>1154</v>
      </c>
      <c r="C5778" s="5" t="s">
        <v>982</v>
      </c>
      <c r="D5778" s="2" t="s">
        <v>983</v>
      </c>
    </row>
    <row r="5779" spans="1:4" ht="12.95" customHeight="1" x14ac:dyDescent="0.25">
      <c r="A5779" s="2" t="s">
        <v>910</v>
      </c>
      <c r="B5779" s="2" t="s">
        <v>1154</v>
      </c>
      <c r="C5779" s="5" t="s">
        <v>996</v>
      </c>
      <c r="D5779" s="2" t="s">
        <v>997</v>
      </c>
    </row>
    <row r="5780" spans="1:4" ht="12.95" customHeight="1" x14ac:dyDescent="0.25">
      <c r="A5780" s="2" t="s">
        <v>910</v>
      </c>
      <c r="B5780" s="2" t="s">
        <v>1154</v>
      </c>
      <c r="C5780" s="5" t="s">
        <v>978</v>
      </c>
      <c r="D5780" s="2" t="s">
        <v>979</v>
      </c>
    </row>
    <row r="5781" spans="1:4" ht="12.95" customHeight="1" x14ac:dyDescent="0.25">
      <c r="A5781" s="2" t="s">
        <v>910</v>
      </c>
      <c r="B5781" s="2" t="s">
        <v>1154</v>
      </c>
      <c r="C5781" s="5" t="s">
        <v>980</v>
      </c>
      <c r="D5781" s="2" t="s">
        <v>981</v>
      </c>
    </row>
    <row r="5782" spans="1:4" ht="12.95" customHeight="1" x14ac:dyDescent="0.25">
      <c r="A5782" s="2" t="s">
        <v>910</v>
      </c>
      <c r="B5782" s="2" t="s">
        <v>1154</v>
      </c>
      <c r="C5782" s="5" t="s">
        <v>982</v>
      </c>
      <c r="D5782" s="2" t="s">
        <v>983</v>
      </c>
    </row>
    <row r="5783" spans="1:4" ht="12.95" customHeight="1" x14ac:dyDescent="0.25">
      <c r="A5783" s="2" t="s">
        <v>913</v>
      </c>
      <c r="B5783" s="2" t="s">
        <v>1154</v>
      </c>
      <c r="C5783" s="5" t="s">
        <v>996</v>
      </c>
      <c r="D5783" s="2" t="s">
        <v>997</v>
      </c>
    </row>
    <row r="5784" spans="1:4" ht="12.95" customHeight="1" x14ac:dyDescent="0.25">
      <c r="A5784" s="2" t="s">
        <v>913</v>
      </c>
      <c r="B5784" s="2" t="s">
        <v>1154</v>
      </c>
      <c r="C5784" s="5" t="s">
        <v>978</v>
      </c>
      <c r="D5784" s="2" t="s">
        <v>979</v>
      </c>
    </row>
    <row r="5785" spans="1:4" ht="12.95" customHeight="1" x14ac:dyDescent="0.25">
      <c r="A5785" s="2" t="s">
        <v>913</v>
      </c>
      <c r="B5785" s="2" t="s">
        <v>1154</v>
      </c>
      <c r="C5785" s="5" t="s">
        <v>980</v>
      </c>
      <c r="D5785" s="2" t="s">
        <v>1041</v>
      </c>
    </row>
    <row r="5786" spans="1:4" ht="12.95" customHeight="1" x14ac:dyDescent="0.25">
      <c r="A5786" s="2" t="s">
        <v>913</v>
      </c>
      <c r="B5786" s="2" t="s">
        <v>1154</v>
      </c>
      <c r="C5786" s="5" t="s">
        <v>982</v>
      </c>
      <c r="D5786" s="2" t="s">
        <v>983</v>
      </c>
    </row>
    <row r="5787" spans="1:4" ht="12.95" customHeight="1" x14ac:dyDescent="0.25">
      <c r="A5787" s="2" t="s">
        <v>913</v>
      </c>
      <c r="B5787" s="2" t="s">
        <v>1154</v>
      </c>
      <c r="C5787" s="5" t="s">
        <v>984</v>
      </c>
      <c r="D5787" s="2" t="s">
        <v>6186</v>
      </c>
    </row>
    <row r="5788" spans="1:4" ht="12.95" customHeight="1" x14ac:dyDescent="0.25">
      <c r="A5788" s="2" t="s">
        <v>913</v>
      </c>
      <c r="B5788" s="2" t="s">
        <v>1154</v>
      </c>
      <c r="C5788" s="5" t="s">
        <v>986</v>
      </c>
      <c r="D5788" s="2" t="s">
        <v>6187</v>
      </c>
    </row>
    <row r="5789" spans="1:4" ht="12.95" customHeight="1" x14ac:dyDescent="0.25">
      <c r="A5789" s="2" t="s">
        <v>915</v>
      </c>
      <c r="B5789" s="2" t="s">
        <v>977</v>
      </c>
      <c r="C5789" s="5" t="s">
        <v>978</v>
      </c>
      <c r="D5789" s="2" t="s">
        <v>1047</v>
      </c>
    </row>
    <row r="5790" spans="1:4" ht="12.95" customHeight="1" x14ac:dyDescent="0.25">
      <c r="A5790" s="2" t="s">
        <v>915</v>
      </c>
      <c r="B5790" s="2" t="s">
        <v>977</v>
      </c>
      <c r="C5790" s="5" t="s">
        <v>980</v>
      </c>
      <c r="D5790" s="2" t="s">
        <v>1041</v>
      </c>
    </row>
    <row r="5791" spans="1:4" ht="12.95" customHeight="1" x14ac:dyDescent="0.25">
      <c r="A5791" s="2" t="s">
        <v>915</v>
      </c>
      <c r="B5791" s="2" t="s">
        <v>977</v>
      </c>
      <c r="C5791" s="5" t="s">
        <v>982</v>
      </c>
      <c r="D5791" s="2" t="s">
        <v>983</v>
      </c>
    </row>
    <row r="5792" spans="1:4" ht="12.95" customHeight="1" x14ac:dyDescent="0.25">
      <c r="A5792" s="2" t="s">
        <v>918</v>
      </c>
      <c r="B5792" s="2" t="s">
        <v>977</v>
      </c>
      <c r="C5792" s="5" t="s">
        <v>978</v>
      </c>
      <c r="D5792" s="2" t="s">
        <v>979</v>
      </c>
    </row>
    <row r="5793" spans="1:4" ht="12.95" customHeight="1" x14ac:dyDescent="0.25">
      <c r="A5793" s="2" t="s">
        <v>918</v>
      </c>
      <c r="B5793" s="2" t="s">
        <v>977</v>
      </c>
      <c r="C5793" s="5" t="s">
        <v>980</v>
      </c>
      <c r="D5793" s="2" t="s">
        <v>981</v>
      </c>
    </row>
    <row r="5794" spans="1:4" ht="12.95" customHeight="1" x14ac:dyDescent="0.25">
      <c r="A5794" s="2" t="s">
        <v>918</v>
      </c>
      <c r="B5794" s="2" t="s">
        <v>977</v>
      </c>
      <c r="C5794" s="5" t="s">
        <v>982</v>
      </c>
      <c r="D5794" s="2" t="s">
        <v>983</v>
      </c>
    </row>
    <row r="5795" spans="1:4" ht="12.95" customHeight="1" x14ac:dyDescent="0.25">
      <c r="A5795" s="2" t="s">
        <v>918</v>
      </c>
      <c r="B5795" s="2" t="s">
        <v>977</v>
      </c>
      <c r="C5795" s="5" t="s">
        <v>984</v>
      </c>
      <c r="D5795" s="2" t="s">
        <v>6188</v>
      </c>
    </row>
    <row r="5796" spans="1:4" ht="12.95" customHeight="1" x14ac:dyDescent="0.25">
      <c r="A5796" s="2" t="s">
        <v>918</v>
      </c>
      <c r="B5796" s="2" t="s">
        <v>977</v>
      </c>
      <c r="C5796" s="5" t="s">
        <v>986</v>
      </c>
      <c r="D5796" s="2" t="s">
        <v>6189</v>
      </c>
    </row>
    <row r="5797" spans="1:4" ht="12.95" customHeight="1" x14ac:dyDescent="0.25">
      <c r="A5797" s="2" t="s">
        <v>921</v>
      </c>
      <c r="B5797" s="2" t="s">
        <v>977</v>
      </c>
      <c r="C5797" s="5" t="s">
        <v>996</v>
      </c>
      <c r="D5797" s="2" t="s">
        <v>997</v>
      </c>
    </row>
    <row r="5798" spans="1:4" ht="12.95" customHeight="1" x14ac:dyDescent="0.25">
      <c r="A5798" s="2" t="s">
        <v>921</v>
      </c>
      <c r="B5798" s="2" t="s">
        <v>977</v>
      </c>
      <c r="C5798" s="5" t="s">
        <v>978</v>
      </c>
      <c r="D5798" s="2" t="s">
        <v>1047</v>
      </c>
    </row>
    <row r="5799" spans="1:4" ht="12.95" customHeight="1" x14ac:dyDescent="0.25">
      <c r="A5799" s="2" t="s">
        <v>921</v>
      </c>
      <c r="B5799" s="2" t="s">
        <v>977</v>
      </c>
      <c r="C5799" s="5" t="s">
        <v>980</v>
      </c>
      <c r="D5799" s="2" t="s">
        <v>1041</v>
      </c>
    </row>
    <row r="5800" spans="1:4" ht="12.95" customHeight="1" x14ac:dyDescent="0.25">
      <c r="A5800" s="2" t="s">
        <v>921</v>
      </c>
      <c r="B5800" s="2" t="s">
        <v>977</v>
      </c>
      <c r="C5800" s="5" t="s">
        <v>982</v>
      </c>
      <c r="D5800" s="2" t="s">
        <v>983</v>
      </c>
    </row>
    <row r="5801" spans="1:4" ht="12.95" customHeight="1" x14ac:dyDescent="0.25">
      <c r="A5801" s="2" t="s">
        <v>921</v>
      </c>
      <c r="B5801" s="2" t="s">
        <v>977</v>
      </c>
      <c r="C5801" s="5" t="s">
        <v>984</v>
      </c>
      <c r="D5801" s="2" t="s">
        <v>1061</v>
      </c>
    </row>
    <row r="5802" spans="1:4" ht="12.95" customHeight="1" x14ac:dyDescent="0.25">
      <c r="A5802" s="2" t="s">
        <v>921</v>
      </c>
      <c r="B5802" s="2" t="s">
        <v>977</v>
      </c>
      <c r="C5802" s="5" t="s">
        <v>986</v>
      </c>
      <c r="D5802" s="2" t="s">
        <v>1062</v>
      </c>
    </row>
    <row r="5803" spans="1:4" ht="12.95" customHeight="1" x14ac:dyDescent="0.25">
      <c r="A5803" s="2" t="s">
        <v>924</v>
      </c>
      <c r="B5803" s="2" t="s">
        <v>977</v>
      </c>
      <c r="C5803" s="5" t="s">
        <v>996</v>
      </c>
      <c r="D5803" s="2" t="s">
        <v>997</v>
      </c>
    </row>
    <row r="5804" spans="1:4" ht="12.95" customHeight="1" x14ac:dyDescent="0.25">
      <c r="A5804" s="2" t="s">
        <v>924</v>
      </c>
      <c r="B5804" s="2" t="s">
        <v>977</v>
      </c>
      <c r="C5804" s="5" t="s">
        <v>984</v>
      </c>
      <c r="D5804" s="2" t="s">
        <v>3033</v>
      </c>
    </row>
    <row r="5805" spans="1:4" ht="12.95" customHeight="1" x14ac:dyDescent="0.25">
      <c r="A5805" s="2" t="s">
        <v>924</v>
      </c>
      <c r="B5805" s="2" t="s">
        <v>977</v>
      </c>
      <c r="C5805" s="5" t="s">
        <v>986</v>
      </c>
      <c r="D5805" s="2" t="s">
        <v>3034</v>
      </c>
    </row>
    <row r="5806" spans="1:4" ht="12.95" customHeight="1" x14ac:dyDescent="0.25">
      <c r="A5806" s="2" t="s">
        <v>924</v>
      </c>
      <c r="B5806" s="2" t="s">
        <v>977</v>
      </c>
      <c r="C5806" s="5" t="s">
        <v>990</v>
      </c>
      <c r="D5806" s="2" t="s">
        <v>3035</v>
      </c>
    </row>
    <row r="5807" spans="1:4" ht="12.95" customHeight="1" x14ac:dyDescent="0.25">
      <c r="A5807" s="2" t="s">
        <v>924</v>
      </c>
      <c r="B5807" s="2" t="s">
        <v>977</v>
      </c>
      <c r="C5807" s="5" t="s">
        <v>992</v>
      </c>
      <c r="D5807" s="2" t="s">
        <v>3036</v>
      </c>
    </row>
    <row r="5808" spans="1:4" ht="12.95" customHeight="1" x14ac:dyDescent="0.25">
      <c r="A5808" s="2" t="s">
        <v>924</v>
      </c>
      <c r="B5808" s="2" t="s">
        <v>977</v>
      </c>
      <c r="C5808" s="5" t="s">
        <v>994</v>
      </c>
      <c r="D5808" s="2" t="s">
        <v>3037</v>
      </c>
    </row>
    <row r="5809" spans="1:4" ht="12.95" customHeight="1" x14ac:dyDescent="0.25">
      <c r="A5809" s="2" t="s">
        <v>924</v>
      </c>
      <c r="B5809" s="2" t="s">
        <v>977</v>
      </c>
      <c r="C5809" s="5" t="s">
        <v>1013</v>
      </c>
      <c r="D5809" s="2" t="s">
        <v>3038</v>
      </c>
    </row>
    <row r="5810" spans="1:4" ht="12.95" customHeight="1" x14ac:dyDescent="0.25">
      <c r="A5810" s="2" t="s">
        <v>924</v>
      </c>
      <c r="B5810" s="2" t="s">
        <v>977</v>
      </c>
      <c r="C5810" s="5" t="s">
        <v>1015</v>
      </c>
      <c r="D5810" s="2" t="s">
        <v>3039</v>
      </c>
    </row>
    <row r="5811" spans="1:4" ht="12.95" customHeight="1" x14ac:dyDescent="0.25">
      <c r="A5811" s="2" t="s">
        <v>924</v>
      </c>
      <c r="B5811" s="2" t="s">
        <v>977</v>
      </c>
      <c r="C5811" s="5" t="s">
        <v>1017</v>
      </c>
      <c r="D5811" s="2" t="s">
        <v>3040</v>
      </c>
    </row>
    <row r="5812" spans="1:4" ht="12.95" customHeight="1" x14ac:dyDescent="0.25">
      <c r="A5812" s="2" t="s">
        <v>924</v>
      </c>
      <c r="B5812" s="2" t="s">
        <v>977</v>
      </c>
      <c r="C5812" s="5" t="s">
        <v>1019</v>
      </c>
      <c r="D5812" s="2" t="s">
        <v>3041</v>
      </c>
    </row>
    <row r="5813" spans="1:4" ht="12.95" customHeight="1" x14ac:dyDescent="0.25">
      <c r="A5813" s="2" t="s">
        <v>924</v>
      </c>
      <c r="B5813" s="2" t="s">
        <v>977</v>
      </c>
      <c r="C5813" s="5" t="s">
        <v>1021</v>
      </c>
      <c r="D5813" s="2" t="s">
        <v>3042</v>
      </c>
    </row>
    <row r="5814" spans="1:4" ht="12.95" customHeight="1" x14ac:dyDescent="0.25">
      <c r="A5814" s="2" t="s">
        <v>924</v>
      </c>
      <c r="B5814" s="2" t="s">
        <v>977</v>
      </c>
      <c r="C5814" s="5" t="s">
        <v>1023</v>
      </c>
      <c r="D5814" s="2" t="s">
        <v>3043</v>
      </c>
    </row>
    <row r="5815" spans="1:4" ht="12.95" customHeight="1" x14ac:dyDescent="0.25">
      <c r="A5815" s="2" t="s">
        <v>924</v>
      </c>
      <c r="B5815" s="2" t="s">
        <v>977</v>
      </c>
      <c r="C5815" s="5" t="s">
        <v>1027</v>
      </c>
      <c r="D5815" s="2" t="s">
        <v>3044</v>
      </c>
    </row>
    <row r="5816" spans="1:4" ht="12.95" customHeight="1" x14ac:dyDescent="0.25">
      <c r="A5816" s="2" t="s">
        <v>924</v>
      </c>
      <c r="B5816" s="2" t="s">
        <v>977</v>
      </c>
      <c r="C5816" s="5" t="s">
        <v>1029</v>
      </c>
      <c r="D5816" s="2" t="s">
        <v>3045</v>
      </c>
    </row>
    <row r="5817" spans="1:4" ht="12.95" customHeight="1" x14ac:dyDescent="0.25">
      <c r="A5817" s="2" t="s">
        <v>924</v>
      </c>
      <c r="B5817" s="2" t="s">
        <v>977</v>
      </c>
      <c r="C5817" s="5" t="s">
        <v>1031</v>
      </c>
      <c r="D5817" s="2" t="s">
        <v>3046</v>
      </c>
    </row>
    <row r="5818" spans="1:4" ht="12.95" customHeight="1" x14ac:dyDescent="0.25">
      <c r="A5818" s="2" t="s">
        <v>924</v>
      </c>
      <c r="B5818" s="2" t="s">
        <v>977</v>
      </c>
      <c r="C5818" s="5" t="s">
        <v>1033</v>
      </c>
      <c r="D5818" s="2" t="s">
        <v>3047</v>
      </c>
    </row>
    <row r="5819" spans="1:4" ht="12.95" customHeight="1" x14ac:dyDescent="0.25">
      <c r="A5819" s="2" t="s">
        <v>924</v>
      </c>
      <c r="B5819" s="2" t="s">
        <v>977</v>
      </c>
      <c r="C5819" s="5" t="s">
        <v>1035</v>
      </c>
      <c r="D5819" s="2" t="s">
        <v>3048</v>
      </c>
    </row>
    <row r="5820" spans="1:4" ht="12.95" customHeight="1" x14ac:dyDescent="0.25">
      <c r="A5820" s="2" t="s">
        <v>924</v>
      </c>
      <c r="B5820" s="2" t="s">
        <v>977</v>
      </c>
      <c r="C5820" s="5" t="s">
        <v>1177</v>
      </c>
      <c r="D5820" s="2" t="s">
        <v>3049</v>
      </c>
    </row>
    <row r="5821" spans="1:4" ht="12.95" customHeight="1" x14ac:dyDescent="0.25">
      <c r="A5821" s="2" t="s">
        <v>924</v>
      </c>
      <c r="B5821" s="2" t="s">
        <v>977</v>
      </c>
      <c r="C5821" s="5" t="s">
        <v>1069</v>
      </c>
      <c r="D5821" s="2" t="s">
        <v>3050</v>
      </c>
    </row>
    <row r="5822" spans="1:4" ht="12.95" customHeight="1" x14ac:dyDescent="0.25">
      <c r="A5822" s="2" t="s">
        <v>924</v>
      </c>
      <c r="B5822" s="2" t="s">
        <v>977</v>
      </c>
      <c r="C5822" s="5" t="s">
        <v>1071</v>
      </c>
      <c r="D5822" s="2" t="s">
        <v>3051</v>
      </c>
    </row>
    <row r="5823" spans="1:4" ht="12.95" customHeight="1" x14ac:dyDescent="0.25">
      <c r="A5823" s="2" t="s">
        <v>924</v>
      </c>
      <c r="B5823" s="2" t="s">
        <v>977</v>
      </c>
      <c r="C5823" s="5" t="s">
        <v>1073</v>
      </c>
      <c r="D5823" s="2" t="s">
        <v>3052</v>
      </c>
    </row>
    <row r="5824" spans="1:4" ht="12.95" customHeight="1" x14ac:dyDescent="0.25">
      <c r="A5824" s="2" t="s">
        <v>924</v>
      </c>
      <c r="B5824" s="2" t="s">
        <v>977</v>
      </c>
      <c r="C5824" s="5" t="s">
        <v>1075</v>
      </c>
      <c r="D5824" s="2" t="s">
        <v>3053</v>
      </c>
    </row>
    <row r="5825" spans="1:4" ht="12.95" customHeight="1" x14ac:dyDescent="0.25">
      <c r="A5825" s="2" t="s">
        <v>924</v>
      </c>
      <c r="B5825" s="2" t="s">
        <v>977</v>
      </c>
      <c r="C5825" s="5" t="s">
        <v>3054</v>
      </c>
      <c r="D5825" s="2" t="s">
        <v>3055</v>
      </c>
    </row>
    <row r="5826" spans="1:4" ht="12.95" customHeight="1" x14ac:dyDescent="0.25">
      <c r="A5826" s="2" t="s">
        <v>924</v>
      </c>
      <c r="B5826" s="2" t="s">
        <v>977</v>
      </c>
      <c r="C5826" s="5" t="s">
        <v>3056</v>
      </c>
      <c r="D5826" s="2" t="s">
        <v>3057</v>
      </c>
    </row>
    <row r="5827" spans="1:4" ht="12.95" customHeight="1" x14ac:dyDescent="0.25">
      <c r="A5827" s="2" t="s">
        <v>924</v>
      </c>
      <c r="B5827" s="2" t="s">
        <v>977</v>
      </c>
      <c r="C5827" s="5" t="s">
        <v>3058</v>
      </c>
      <c r="D5827" s="2" t="s">
        <v>3059</v>
      </c>
    </row>
    <row r="5828" spans="1:4" ht="12.95" customHeight="1" x14ac:dyDescent="0.25">
      <c r="A5828" s="2" t="s">
        <v>924</v>
      </c>
      <c r="B5828" s="2" t="s">
        <v>977</v>
      </c>
      <c r="C5828" s="5" t="s">
        <v>3060</v>
      </c>
      <c r="D5828" s="2" t="s">
        <v>3061</v>
      </c>
    </row>
    <row r="5829" spans="1:4" ht="12.95" customHeight="1" x14ac:dyDescent="0.25">
      <c r="A5829" s="2" t="s">
        <v>924</v>
      </c>
      <c r="B5829" s="2" t="s">
        <v>977</v>
      </c>
      <c r="C5829" s="5" t="s">
        <v>3062</v>
      </c>
      <c r="D5829" s="2" t="s">
        <v>3063</v>
      </c>
    </row>
    <row r="5830" spans="1:4" ht="12.95" customHeight="1" x14ac:dyDescent="0.25">
      <c r="A5830" s="2" t="s">
        <v>924</v>
      </c>
      <c r="B5830" s="2" t="s">
        <v>977</v>
      </c>
      <c r="C5830" s="5" t="s">
        <v>1179</v>
      </c>
      <c r="D5830" s="2" t="s">
        <v>3064</v>
      </c>
    </row>
    <row r="5831" spans="1:4" ht="12.95" customHeight="1" x14ac:dyDescent="0.25">
      <c r="A5831" s="2" t="s">
        <v>924</v>
      </c>
      <c r="B5831" s="2" t="s">
        <v>977</v>
      </c>
      <c r="C5831" s="5" t="s">
        <v>1077</v>
      </c>
      <c r="D5831" s="2" t="s">
        <v>3065</v>
      </c>
    </row>
    <row r="5832" spans="1:4" ht="12.95" customHeight="1" x14ac:dyDescent="0.25">
      <c r="A5832" s="2" t="s">
        <v>924</v>
      </c>
      <c r="B5832" s="2" t="s">
        <v>977</v>
      </c>
      <c r="C5832" s="5" t="s">
        <v>1079</v>
      </c>
      <c r="D5832" s="2" t="s">
        <v>3066</v>
      </c>
    </row>
    <row r="5833" spans="1:4" ht="12.95" customHeight="1" x14ac:dyDescent="0.25">
      <c r="A5833" s="2" t="s">
        <v>924</v>
      </c>
      <c r="B5833" s="2" t="s">
        <v>977</v>
      </c>
      <c r="C5833" s="5" t="s">
        <v>1081</v>
      </c>
      <c r="D5833" s="2" t="s">
        <v>3067</v>
      </c>
    </row>
    <row r="5834" spans="1:4" ht="12.95" customHeight="1" x14ac:dyDescent="0.25">
      <c r="A5834" s="2" t="s">
        <v>924</v>
      </c>
      <c r="B5834" s="2" t="s">
        <v>977</v>
      </c>
      <c r="C5834" s="5" t="s">
        <v>1083</v>
      </c>
      <c r="D5834" s="2" t="s">
        <v>3068</v>
      </c>
    </row>
    <row r="5835" spans="1:4" ht="12.95" customHeight="1" x14ac:dyDescent="0.25">
      <c r="A5835" s="2" t="s">
        <v>924</v>
      </c>
      <c r="B5835" s="2" t="s">
        <v>977</v>
      </c>
      <c r="C5835" s="5" t="s">
        <v>3069</v>
      </c>
      <c r="D5835" s="2" t="s">
        <v>3070</v>
      </c>
    </row>
    <row r="5836" spans="1:4" ht="12.95" customHeight="1" x14ac:dyDescent="0.25">
      <c r="A5836" s="2" t="s">
        <v>924</v>
      </c>
      <c r="B5836" s="2" t="s">
        <v>977</v>
      </c>
      <c r="C5836" s="5" t="s">
        <v>3071</v>
      </c>
      <c r="D5836" s="2" t="s">
        <v>3072</v>
      </c>
    </row>
    <row r="5837" spans="1:4" ht="12.95" customHeight="1" x14ac:dyDescent="0.25">
      <c r="A5837" s="2" t="s">
        <v>924</v>
      </c>
      <c r="B5837" s="2" t="s">
        <v>977</v>
      </c>
      <c r="C5837" s="5" t="s">
        <v>3073</v>
      </c>
      <c r="D5837" s="2" t="s">
        <v>3074</v>
      </c>
    </row>
    <row r="5838" spans="1:4" ht="12.95" customHeight="1" x14ac:dyDescent="0.25">
      <c r="A5838" s="2" t="s">
        <v>924</v>
      </c>
      <c r="B5838" s="2" t="s">
        <v>977</v>
      </c>
      <c r="C5838" s="5" t="s">
        <v>3075</v>
      </c>
      <c r="D5838" s="2" t="s">
        <v>3076</v>
      </c>
    </row>
    <row r="5839" spans="1:4" ht="12.95" customHeight="1" x14ac:dyDescent="0.25">
      <c r="A5839" s="2" t="s">
        <v>924</v>
      </c>
      <c r="B5839" s="2" t="s">
        <v>977</v>
      </c>
      <c r="C5839" s="5" t="s">
        <v>3077</v>
      </c>
      <c r="D5839" s="2" t="s">
        <v>3078</v>
      </c>
    </row>
    <row r="5840" spans="1:4" ht="12.95" customHeight="1" x14ac:dyDescent="0.25">
      <c r="A5840" s="2" t="s">
        <v>924</v>
      </c>
      <c r="B5840" s="2" t="s">
        <v>977</v>
      </c>
      <c r="C5840" s="5" t="s">
        <v>1181</v>
      </c>
      <c r="D5840" s="2" t="s">
        <v>3079</v>
      </c>
    </row>
    <row r="5841" spans="1:4" ht="12.95" customHeight="1" x14ac:dyDescent="0.25">
      <c r="A5841" s="2" t="s">
        <v>924</v>
      </c>
      <c r="B5841" s="2" t="s">
        <v>977</v>
      </c>
      <c r="C5841" s="5" t="s">
        <v>1085</v>
      </c>
      <c r="D5841" s="2" t="s">
        <v>3080</v>
      </c>
    </row>
    <row r="5842" spans="1:4" ht="12.95" customHeight="1" x14ac:dyDescent="0.25">
      <c r="A5842" s="2" t="s">
        <v>924</v>
      </c>
      <c r="B5842" s="2" t="s">
        <v>977</v>
      </c>
      <c r="C5842" s="5" t="s">
        <v>1087</v>
      </c>
      <c r="D5842" s="2" t="s">
        <v>3081</v>
      </c>
    </row>
    <row r="5843" spans="1:4" ht="12.95" customHeight="1" x14ac:dyDescent="0.25">
      <c r="A5843" s="2" t="s">
        <v>924</v>
      </c>
      <c r="B5843" s="2" t="s">
        <v>977</v>
      </c>
      <c r="C5843" s="5" t="s">
        <v>1091</v>
      </c>
      <c r="D5843" s="2" t="s">
        <v>3082</v>
      </c>
    </row>
    <row r="5844" spans="1:4" ht="12.95" customHeight="1" x14ac:dyDescent="0.25">
      <c r="A5844" s="2" t="s">
        <v>924</v>
      </c>
      <c r="B5844" s="2" t="s">
        <v>977</v>
      </c>
      <c r="C5844" s="5" t="s">
        <v>3083</v>
      </c>
      <c r="D5844" s="2" t="s">
        <v>3084</v>
      </c>
    </row>
    <row r="5845" spans="1:4" ht="12.95" customHeight="1" x14ac:dyDescent="0.25">
      <c r="A5845" s="2" t="s">
        <v>924</v>
      </c>
      <c r="B5845" s="2" t="s">
        <v>977</v>
      </c>
      <c r="C5845" s="5" t="s">
        <v>3085</v>
      </c>
      <c r="D5845" s="2" t="s">
        <v>3086</v>
      </c>
    </row>
    <row r="5846" spans="1:4" ht="12.95" customHeight="1" x14ac:dyDescent="0.25">
      <c r="A5846" s="2" t="s">
        <v>924</v>
      </c>
      <c r="B5846" s="2" t="s">
        <v>977</v>
      </c>
      <c r="C5846" s="5" t="s">
        <v>3087</v>
      </c>
      <c r="D5846" s="2" t="s">
        <v>3088</v>
      </c>
    </row>
    <row r="5847" spans="1:4" ht="12.95" customHeight="1" x14ac:dyDescent="0.25">
      <c r="A5847" s="2" t="s">
        <v>924</v>
      </c>
      <c r="B5847" s="2" t="s">
        <v>977</v>
      </c>
      <c r="C5847" s="5" t="s">
        <v>3089</v>
      </c>
      <c r="D5847" s="2" t="s">
        <v>3090</v>
      </c>
    </row>
    <row r="5848" spans="1:4" ht="12.95" customHeight="1" x14ac:dyDescent="0.25">
      <c r="A5848" s="2" t="s">
        <v>924</v>
      </c>
      <c r="B5848" s="2" t="s">
        <v>977</v>
      </c>
      <c r="C5848" s="5" t="s">
        <v>3091</v>
      </c>
      <c r="D5848" s="2" t="s">
        <v>3092</v>
      </c>
    </row>
    <row r="5849" spans="1:4" ht="12.95" customHeight="1" x14ac:dyDescent="0.25">
      <c r="A5849" s="2" t="s">
        <v>924</v>
      </c>
      <c r="B5849" s="2" t="s">
        <v>977</v>
      </c>
      <c r="C5849" s="5" t="s">
        <v>1183</v>
      </c>
      <c r="D5849" s="2" t="s">
        <v>3093</v>
      </c>
    </row>
    <row r="5850" spans="1:4" ht="12.95" customHeight="1" x14ac:dyDescent="0.25">
      <c r="A5850" s="2" t="s">
        <v>924</v>
      </c>
      <c r="B5850" s="2" t="s">
        <v>977</v>
      </c>
      <c r="C5850" s="5" t="s">
        <v>1093</v>
      </c>
      <c r="D5850" s="2" t="s">
        <v>3094</v>
      </c>
    </row>
    <row r="5851" spans="1:4" ht="12.95" customHeight="1" x14ac:dyDescent="0.25">
      <c r="A5851" s="2" t="s">
        <v>924</v>
      </c>
      <c r="B5851" s="2" t="s">
        <v>977</v>
      </c>
      <c r="C5851" s="5" t="s">
        <v>1097</v>
      </c>
      <c r="D5851" s="2" t="s">
        <v>3095</v>
      </c>
    </row>
    <row r="5852" spans="1:4" ht="12.95" customHeight="1" x14ac:dyDescent="0.25">
      <c r="A5852" s="2" t="s">
        <v>924</v>
      </c>
      <c r="B5852" s="2" t="s">
        <v>977</v>
      </c>
      <c r="C5852" s="5" t="s">
        <v>1099</v>
      </c>
      <c r="D5852" s="2" t="s">
        <v>3096</v>
      </c>
    </row>
    <row r="5853" spans="1:4" ht="12.95" customHeight="1" x14ac:dyDescent="0.25">
      <c r="A5853" s="2" t="s">
        <v>924</v>
      </c>
      <c r="B5853" s="2" t="s">
        <v>977</v>
      </c>
      <c r="C5853" s="5" t="s">
        <v>3097</v>
      </c>
      <c r="D5853" s="2" t="s">
        <v>3098</v>
      </c>
    </row>
    <row r="5854" spans="1:4" ht="12.95" customHeight="1" x14ac:dyDescent="0.25">
      <c r="A5854" s="2" t="s">
        <v>924</v>
      </c>
      <c r="B5854" s="2" t="s">
        <v>977</v>
      </c>
      <c r="C5854" s="5" t="s">
        <v>3099</v>
      </c>
      <c r="D5854" s="2" t="s">
        <v>3100</v>
      </c>
    </row>
    <row r="5855" spans="1:4" ht="12.95" customHeight="1" x14ac:dyDescent="0.25">
      <c r="A5855" s="2" t="s">
        <v>926</v>
      </c>
      <c r="B5855" s="2" t="s">
        <v>977</v>
      </c>
      <c r="C5855" s="5" t="s">
        <v>996</v>
      </c>
      <c r="D5855" s="2" t="s">
        <v>997</v>
      </c>
    </row>
    <row r="5856" spans="1:4" ht="12.95" customHeight="1" x14ac:dyDescent="0.25">
      <c r="A5856" s="2" t="s">
        <v>926</v>
      </c>
      <c r="B5856" s="2" t="s">
        <v>977</v>
      </c>
      <c r="C5856" s="5" t="s">
        <v>978</v>
      </c>
      <c r="D5856" s="2" t="s">
        <v>979</v>
      </c>
    </row>
    <row r="5857" spans="1:4" ht="12.95" customHeight="1" x14ac:dyDescent="0.25">
      <c r="A5857" s="2" t="s">
        <v>926</v>
      </c>
      <c r="B5857" s="2" t="s">
        <v>977</v>
      </c>
      <c r="C5857" s="5" t="s">
        <v>980</v>
      </c>
      <c r="D5857" s="2" t="s">
        <v>981</v>
      </c>
    </row>
    <row r="5858" spans="1:4" ht="12.95" customHeight="1" x14ac:dyDescent="0.25">
      <c r="A5858" s="2" t="s">
        <v>926</v>
      </c>
      <c r="B5858" s="2" t="s">
        <v>977</v>
      </c>
      <c r="C5858" s="5" t="s">
        <v>982</v>
      </c>
      <c r="D5858" s="2" t="s">
        <v>983</v>
      </c>
    </row>
    <row r="5859" spans="1:4" ht="12.95" customHeight="1" x14ac:dyDescent="0.25">
      <c r="A5859" s="2" t="s">
        <v>926</v>
      </c>
      <c r="B5859" s="2" t="s">
        <v>977</v>
      </c>
      <c r="C5859" s="5" t="s">
        <v>1174</v>
      </c>
      <c r="D5859" s="2" t="s">
        <v>1059</v>
      </c>
    </row>
    <row r="5860" spans="1:4" ht="12.95" customHeight="1" x14ac:dyDescent="0.25">
      <c r="A5860" s="2" t="s">
        <v>926</v>
      </c>
      <c r="B5860" s="2" t="s">
        <v>977</v>
      </c>
      <c r="C5860" s="5" t="s">
        <v>984</v>
      </c>
      <c r="D5860" s="2" t="s">
        <v>3249</v>
      </c>
    </row>
    <row r="5861" spans="1:4" ht="12.95" customHeight="1" x14ac:dyDescent="0.25">
      <c r="A5861" s="2" t="s">
        <v>926</v>
      </c>
      <c r="B5861" s="2" t="s">
        <v>977</v>
      </c>
      <c r="C5861" s="5" t="s">
        <v>986</v>
      </c>
      <c r="D5861" s="2" t="s">
        <v>3250</v>
      </c>
    </row>
    <row r="5862" spans="1:4" ht="12.95" customHeight="1" x14ac:dyDescent="0.25">
      <c r="A5862" s="2" t="s">
        <v>926</v>
      </c>
      <c r="B5862" s="2" t="s">
        <v>977</v>
      </c>
      <c r="C5862" s="5" t="s">
        <v>988</v>
      </c>
      <c r="D5862" s="2" t="s">
        <v>3251</v>
      </c>
    </row>
    <row r="5863" spans="1:4" ht="12.95" customHeight="1" x14ac:dyDescent="0.25">
      <c r="A5863" s="2" t="s">
        <v>926</v>
      </c>
      <c r="B5863" s="2" t="s">
        <v>977</v>
      </c>
      <c r="C5863" s="5" t="s">
        <v>990</v>
      </c>
      <c r="D5863" s="2" t="s">
        <v>3252</v>
      </c>
    </row>
    <row r="5864" spans="1:4" ht="12.95" customHeight="1" x14ac:dyDescent="0.25">
      <c r="A5864" s="2" t="s">
        <v>926</v>
      </c>
      <c r="B5864" s="2" t="s">
        <v>977</v>
      </c>
      <c r="C5864" s="5" t="s">
        <v>992</v>
      </c>
      <c r="D5864" s="2" t="s">
        <v>3253</v>
      </c>
    </row>
    <row r="5865" spans="1:4" ht="12.95" customHeight="1" x14ac:dyDescent="0.25">
      <c r="A5865" s="2" t="s">
        <v>926</v>
      </c>
      <c r="B5865" s="2" t="s">
        <v>977</v>
      </c>
      <c r="C5865" s="5" t="s">
        <v>994</v>
      </c>
      <c r="D5865" s="2" t="s">
        <v>3254</v>
      </c>
    </row>
    <row r="5866" spans="1:4" ht="12.95" customHeight="1" x14ac:dyDescent="0.25">
      <c r="A5866" s="2" t="s">
        <v>926</v>
      </c>
      <c r="B5866" s="2" t="s">
        <v>977</v>
      </c>
      <c r="C5866" s="5" t="s">
        <v>1003</v>
      </c>
      <c r="D5866" s="2" t="s">
        <v>3255</v>
      </c>
    </row>
    <row r="5867" spans="1:4" ht="12.95" customHeight="1" x14ac:dyDescent="0.25">
      <c r="A5867" s="2" t="s">
        <v>926</v>
      </c>
      <c r="B5867" s="2" t="s">
        <v>977</v>
      </c>
      <c r="C5867" s="5" t="s">
        <v>1013</v>
      </c>
      <c r="D5867" s="2" t="s">
        <v>3256</v>
      </c>
    </row>
    <row r="5868" spans="1:4" ht="12.95" customHeight="1" x14ac:dyDescent="0.25">
      <c r="A5868" s="2" t="s">
        <v>926</v>
      </c>
      <c r="B5868" s="2" t="s">
        <v>977</v>
      </c>
      <c r="C5868" s="5" t="s">
        <v>1005</v>
      </c>
      <c r="D5868" s="2" t="s">
        <v>1037</v>
      </c>
    </row>
    <row r="5869" spans="1:4" ht="12.95" customHeight="1" x14ac:dyDescent="0.25">
      <c r="A5869" s="2" t="s">
        <v>928</v>
      </c>
      <c r="B5869" s="2" t="s">
        <v>977</v>
      </c>
      <c r="C5869" s="5" t="s">
        <v>996</v>
      </c>
      <c r="D5869" s="2" t="s">
        <v>997</v>
      </c>
    </row>
    <row r="5870" spans="1:4" ht="12.95" customHeight="1" x14ac:dyDescent="0.25">
      <c r="A5870" s="2" t="s">
        <v>928</v>
      </c>
      <c r="B5870" s="2" t="s">
        <v>977</v>
      </c>
      <c r="C5870" s="5" t="s">
        <v>978</v>
      </c>
      <c r="D5870" s="2" t="s">
        <v>979</v>
      </c>
    </row>
    <row r="5871" spans="1:4" ht="12.95" customHeight="1" x14ac:dyDescent="0.25">
      <c r="A5871" s="2" t="s">
        <v>928</v>
      </c>
      <c r="B5871" s="2" t="s">
        <v>977</v>
      </c>
      <c r="C5871" s="5" t="s">
        <v>980</v>
      </c>
      <c r="D5871" s="2" t="s">
        <v>981</v>
      </c>
    </row>
    <row r="5872" spans="1:4" ht="12.95" customHeight="1" x14ac:dyDescent="0.25">
      <c r="A5872" s="2" t="s">
        <v>928</v>
      </c>
      <c r="B5872" s="2" t="s">
        <v>977</v>
      </c>
      <c r="C5872" s="5" t="s">
        <v>982</v>
      </c>
      <c r="D5872" s="2" t="s">
        <v>983</v>
      </c>
    </row>
    <row r="5873" spans="1:4" ht="12.95" customHeight="1" x14ac:dyDescent="0.25">
      <c r="A5873" s="2" t="s">
        <v>928</v>
      </c>
      <c r="B5873" s="2" t="s">
        <v>977</v>
      </c>
      <c r="C5873" s="5" t="s">
        <v>1174</v>
      </c>
      <c r="D5873" s="2" t="s">
        <v>1059</v>
      </c>
    </row>
    <row r="5874" spans="1:4" ht="12.95" customHeight="1" x14ac:dyDescent="0.25">
      <c r="A5874" s="2" t="s">
        <v>928</v>
      </c>
      <c r="B5874" s="2" t="s">
        <v>977</v>
      </c>
      <c r="C5874" s="5" t="s">
        <v>984</v>
      </c>
      <c r="D5874" s="2" t="s">
        <v>3249</v>
      </c>
    </row>
    <row r="5875" spans="1:4" ht="12.95" customHeight="1" x14ac:dyDescent="0.25">
      <c r="A5875" s="2" t="s">
        <v>928</v>
      </c>
      <c r="B5875" s="2" t="s">
        <v>977</v>
      </c>
      <c r="C5875" s="5" t="s">
        <v>986</v>
      </c>
      <c r="D5875" s="2" t="s">
        <v>3250</v>
      </c>
    </row>
    <row r="5876" spans="1:4" ht="12.95" customHeight="1" x14ac:dyDescent="0.25">
      <c r="A5876" s="2" t="s">
        <v>928</v>
      </c>
      <c r="B5876" s="2" t="s">
        <v>977</v>
      </c>
      <c r="C5876" s="5" t="s">
        <v>988</v>
      </c>
      <c r="D5876" s="2" t="s">
        <v>3251</v>
      </c>
    </row>
    <row r="5877" spans="1:4" ht="12.95" customHeight="1" x14ac:dyDescent="0.25">
      <c r="A5877" s="2" t="s">
        <v>928</v>
      </c>
      <c r="B5877" s="2" t="s">
        <v>977</v>
      </c>
      <c r="C5877" s="5" t="s">
        <v>990</v>
      </c>
      <c r="D5877" s="2" t="s">
        <v>3252</v>
      </c>
    </row>
    <row r="5878" spans="1:4" ht="12.95" customHeight="1" x14ac:dyDescent="0.25">
      <c r="A5878" s="2" t="s">
        <v>928</v>
      </c>
      <c r="B5878" s="2" t="s">
        <v>977</v>
      </c>
      <c r="C5878" s="5" t="s">
        <v>992</v>
      </c>
      <c r="D5878" s="2" t="s">
        <v>3253</v>
      </c>
    </row>
    <row r="5879" spans="1:4" ht="12.95" customHeight="1" x14ac:dyDescent="0.25">
      <c r="A5879" s="2" t="s">
        <v>928</v>
      </c>
      <c r="B5879" s="2" t="s">
        <v>977</v>
      </c>
      <c r="C5879" s="5" t="s">
        <v>994</v>
      </c>
      <c r="D5879" s="2" t="s">
        <v>3254</v>
      </c>
    </row>
    <row r="5880" spans="1:4" ht="12.95" customHeight="1" x14ac:dyDescent="0.25">
      <c r="A5880" s="2" t="s">
        <v>928</v>
      </c>
      <c r="B5880" s="2" t="s">
        <v>977</v>
      </c>
      <c r="C5880" s="5" t="s">
        <v>1003</v>
      </c>
      <c r="D5880" s="2" t="s">
        <v>3255</v>
      </c>
    </row>
    <row r="5881" spans="1:4" ht="12.95" customHeight="1" x14ac:dyDescent="0.25">
      <c r="A5881" s="2" t="s">
        <v>928</v>
      </c>
      <c r="B5881" s="2" t="s">
        <v>977</v>
      </c>
      <c r="C5881" s="5" t="s">
        <v>1013</v>
      </c>
      <c r="D5881" s="2" t="s">
        <v>3256</v>
      </c>
    </row>
    <row r="5882" spans="1:4" ht="12.95" customHeight="1" x14ac:dyDescent="0.25">
      <c r="A5882" s="2" t="s">
        <v>928</v>
      </c>
      <c r="B5882" s="2" t="s">
        <v>977</v>
      </c>
      <c r="C5882" s="5" t="s">
        <v>1005</v>
      </c>
      <c r="D5882" s="2" t="s">
        <v>1037</v>
      </c>
    </row>
    <row r="5883" spans="1:4" ht="12.95" customHeight="1" x14ac:dyDescent="0.25">
      <c r="A5883" s="2" t="s">
        <v>930</v>
      </c>
      <c r="B5883" s="2" t="s">
        <v>977</v>
      </c>
      <c r="C5883" s="5" t="s">
        <v>996</v>
      </c>
      <c r="D5883" s="2" t="s">
        <v>997</v>
      </c>
    </row>
    <row r="5884" spans="1:4" ht="12.95" customHeight="1" x14ac:dyDescent="0.25">
      <c r="A5884" s="2" t="s">
        <v>930</v>
      </c>
      <c r="B5884" s="2" t="s">
        <v>977</v>
      </c>
      <c r="C5884" s="5" t="s">
        <v>982</v>
      </c>
      <c r="D5884" s="2" t="s">
        <v>983</v>
      </c>
    </row>
    <row r="5885" spans="1:4" ht="12.95" customHeight="1" x14ac:dyDescent="0.25">
      <c r="A5885" s="2" t="s">
        <v>930</v>
      </c>
      <c r="B5885" s="2" t="s">
        <v>977</v>
      </c>
      <c r="C5885" s="5" t="s">
        <v>984</v>
      </c>
      <c r="D5885" s="2" t="s">
        <v>1061</v>
      </c>
    </row>
    <row r="5886" spans="1:4" ht="12.95" customHeight="1" x14ac:dyDescent="0.25">
      <c r="A5886" s="2" t="s">
        <v>930</v>
      </c>
      <c r="B5886" s="2" t="s">
        <v>977</v>
      </c>
      <c r="C5886" s="5" t="s">
        <v>986</v>
      </c>
      <c r="D5886" s="2" t="s">
        <v>1062</v>
      </c>
    </row>
    <row r="5887" spans="1:4" ht="12.95" customHeight="1" x14ac:dyDescent="0.25">
      <c r="A5887" s="2" t="s">
        <v>934</v>
      </c>
      <c r="B5887" s="2" t="s">
        <v>977</v>
      </c>
      <c r="C5887" s="5" t="s">
        <v>996</v>
      </c>
      <c r="D5887" s="2" t="s">
        <v>997</v>
      </c>
    </row>
    <row r="5888" spans="1:4" ht="12.95" customHeight="1" x14ac:dyDescent="0.25">
      <c r="A5888" s="2" t="s">
        <v>934</v>
      </c>
      <c r="B5888" s="2" t="s">
        <v>977</v>
      </c>
      <c r="C5888" s="5" t="s">
        <v>982</v>
      </c>
      <c r="D5888" s="2" t="s">
        <v>983</v>
      </c>
    </row>
    <row r="5889" spans="1:4" ht="12.95" customHeight="1" x14ac:dyDescent="0.25">
      <c r="A5889" s="2" t="s">
        <v>938</v>
      </c>
      <c r="B5889" s="2" t="s">
        <v>977</v>
      </c>
      <c r="C5889" s="5" t="s">
        <v>978</v>
      </c>
      <c r="D5889" s="2" t="s">
        <v>1047</v>
      </c>
    </row>
    <row r="5890" spans="1:4" ht="12.95" customHeight="1" x14ac:dyDescent="0.25">
      <c r="A5890" s="2" t="s">
        <v>938</v>
      </c>
      <c r="B5890" s="2" t="s">
        <v>977</v>
      </c>
      <c r="C5890" s="5" t="s">
        <v>980</v>
      </c>
      <c r="D5890" s="2" t="s">
        <v>1041</v>
      </c>
    </row>
    <row r="5891" spans="1:4" ht="12.95" customHeight="1" x14ac:dyDescent="0.25">
      <c r="A5891" s="2" t="s">
        <v>938</v>
      </c>
      <c r="B5891" s="2" t="s">
        <v>977</v>
      </c>
      <c r="C5891" s="5" t="s">
        <v>982</v>
      </c>
      <c r="D5891" s="2" t="s">
        <v>983</v>
      </c>
    </row>
    <row r="5892" spans="1:4" ht="12.95" customHeight="1" x14ac:dyDescent="0.25">
      <c r="A5892" s="2" t="s">
        <v>938</v>
      </c>
      <c r="B5892" s="2" t="s">
        <v>977</v>
      </c>
      <c r="C5892" s="5" t="s">
        <v>984</v>
      </c>
      <c r="D5892" s="2" t="s">
        <v>1061</v>
      </c>
    </row>
    <row r="5893" spans="1:4" ht="12.95" customHeight="1" x14ac:dyDescent="0.25">
      <c r="A5893" s="2" t="s">
        <v>938</v>
      </c>
      <c r="B5893" s="2" t="s">
        <v>977</v>
      </c>
      <c r="C5893" s="5" t="s">
        <v>986</v>
      </c>
      <c r="D5893" s="2" t="s">
        <v>1062</v>
      </c>
    </row>
    <row r="5894" spans="1:4" ht="12.95" customHeight="1" x14ac:dyDescent="0.25">
      <c r="A5894" s="2" t="s">
        <v>941</v>
      </c>
      <c r="B5894" s="2" t="s">
        <v>977</v>
      </c>
      <c r="C5894" s="5" t="s">
        <v>996</v>
      </c>
      <c r="D5894" s="2" t="s">
        <v>997</v>
      </c>
    </row>
    <row r="5895" spans="1:4" ht="12.95" customHeight="1" x14ac:dyDescent="0.25">
      <c r="A5895" s="2" t="s">
        <v>941</v>
      </c>
      <c r="B5895" s="2" t="s">
        <v>977</v>
      </c>
      <c r="C5895" s="5" t="s">
        <v>982</v>
      </c>
      <c r="D5895" s="2" t="s">
        <v>983</v>
      </c>
    </row>
    <row r="5896" spans="1:4" ht="12.95" customHeight="1" x14ac:dyDescent="0.25">
      <c r="A5896" s="2" t="s">
        <v>943</v>
      </c>
      <c r="B5896" s="2" t="s">
        <v>977</v>
      </c>
      <c r="C5896" s="5" t="s">
        <v>996</v>
      </c>
      <c r="D5896" s="2" t="s">
        <v>997</v>
      </c>
    </row>
    <row r="5897" spans="1:4" ht="12.95" customHeight="1" x14ac:dyDescent="0.25">
      <c r="A5897" s="2" t="s">
        <v>943</v>
      </c>
      <c r="B5897" s="2" t="s">
        <v>977</v>
      </c>
      <c r="C5897" s="5" t="s">
        <v>982</v>
      </c>
      <c r="D5897" s="2" t="s">
        <v>983</v>
      </c>
    </row>
    <row r="5898" spans="1:4" ht="12.95" customHeight="1" x14ac:dyDescent="0.25">
      <c r="A5898" s="2" t="s">
        <v>945</v>
      </c>
      <c r="B5898" s="2" t="s">
        <v>977</v>
      </c>
      <c r="C5898" s="5" t="s">
        <v>996</v>
      </c>
      <c r="D5898" s="2" t="s">
        <v>997</v>
      </c>
    </row>
    <row r="5899" spans="1:4" ht="12.95" customHeight="1" x14ac:dyDescent="0.25">
      <c r="A5899" s="2" t="s">
        <v>945</v>
      </c>
      <c r="B5899" s="2" t="s">
        <v>977</v>
      </c>
      <c r="C5899" s="5" t="s">
        <v>978</v>
      </c>
      <c r="D5899" s="2" t="s">
        <v>1047</v>
      </c>
    </row>
    <row r="5900" spans="1:4" ht="12.95" customHeight="1" x14ac:dyDescent="0.25">
      <c r="A5900" s="2" t="s">
        <v>945</v>
      </c>
      <c r="B5900" s="2" t="s">
        <v>977</v>
      </c>
      <c r="C5900" s="5" t="s">
        <v>980</v>
      </c>
      <c r="D5900" s="2" t="s">
        <v>1041</v>
      </c>
    </row>
    <row r="5901" spans="1:4" ht="12.95" customHeight="1" x14ac:dyDescent="0.25">
      <c r="A5901" s="2" t="s">
        <v>945</v>
      </c>
      <c r="B5901" s="2" t="s">
        <v>977</v>
      </c>
      <c r="C5901" s="5" t="s">
        <v>982</v>
      </c>
      <c r="D5901" s="2" t="s">
        <v>983</v>
      </c>
    </row>
    <row r="5902" spans="1:4" ht="12.95" customHeight="1" x14ac:dyDescent="0.25">
      <c r="A5902" s="2" t="s">
        <v>948</v>
      </c>
      <c r="B5902" s="2" t="s">
        <v>977</v>
      </c>
      <c r="C5902" s="5" t="s">
        <v>996</v>
      </c>
      <c r="D5902" s="2" t="s">
        <v>997</v>
      </c>
    </row>
    <row r="5903" spans="1:4" ht="12.95" customHeight="1" x14ac:dyDescent="0.25">
      <c r="A5903" s="2" t="s">
        <v>948</v>
      </c>
      <c r="B5903" s="2" t="s">
        <v>977</v>
      </c>
      <c r="C5903" s="5" t="s">
        <v>978</v>
      </c>
      <c r="D5903" s="2" t="s">
        <v>979</v>
      </c>
    </row>
    <row r="5904" spans="1:4" ht="12.95" customHeight="1" x14ac:dyDescent="0.25">
      <c r="A5904" s="2" t="s">
        <v>948</v>
      </c>
      <c r="B5904" s="2" t="s">
        <v>977</v>
      </c>
      <c r="C5904" s="5" t="s">
        <v>980</v>
      </c>
      <c r="D5904" s="2" t="s">
        <v>981</v>
      </c>
    </row>
    <row r="5905" spans="1:4" ht="12.95" customHeight="1" x14ac:dyDescent="0.25">
      <c r="A5905" s="2" t="s">
        <v>948</v>
      </c>
      <c r="B5905" s="2" t="s">
        <v>977</v>
      </c>
      <c r="C5905" s="5" t="s">
        <v>982</v>
      </c>
      <c r="D5905" s="2" t="s">
        <v>983</v>
      </c>
    </row>
    <row r="5906" spans="1:4" ht="12.95" customHeight="1" x14ac:dyDescent="0.25">
      <c r="A5906" s="2" t="s">
        <v>948</v>
      </c>
      <c r="B5906" s="2" t="s">
        <v>977</v>
      </c>
      <c r="C5906" s="5" t="s">
        <v>984</v>
      </c>
      <c r="D5906" s="2" t="s">
        <v>853</v>
      </c>
    </row>
    <row r="5907" spans="1:4" ht="12.95" customHeight="1" x14ac:dyDescent="0.25">
      <c r="A5907" s="2" t="s">
        <v>948</v>
      </c>
      <c r="B5907" s="2" t="s">
        <v>977</v>
      </c>
      <c r="C5907" s="5" t="s">
        <v>986</v>
      </c>
      <c r="D5907" s="2" t="s">
        <v>1001</v>
      </c>
    </row>
    <row r="5908" spans="1:4" ht="12.95" customHeight="1" x14ac:dyDescent="0.25">
      <c r="A5908" s="2" t="s">
        <v>948</v>
      </c>
      <c r="B5908" s="2" t="s">
        <v>977</v>
      </c>
      <c r="C5908" s="5" t="s">
        <v>988</v>
      </c>
      <c r="D5908" s="2" t="s">
        <v>6056</v>
      </c>
    </row>
    <row r="5909" spans="1:4" ht="12.95" customHeight="1" x14ac:dyDescent="0.25">
      <c r="A5909" s="2" t="s">
        <v>948</v>
      </c>
      <c r="B5909" s="2" t="s">
        <v>977</v>
      </c>
      <c r="C5909" s="5" t="s">
        <v>990</v>
      </c>
      <c r="D5909" s="2" t="s">
        <v>6057</v>
      </c>
    </row>
    <row r="5910" spans="1:4" ht="12.95" customHeight="1" x14ac:dyDescent="0.25">
      <c r="A5910" s="2" t="s">
        <v>948</v>
      </c>
      <c r="B5910" s="2" t="s">
        <v>977</v>
      </c>
      <c r="C5910" s="5" t="s">
        <v>992</v>
      </c>
      <c r="D5910" s="2" t="s">
        <v>6077</v>
      </c>
    </row>
    <row r="5911" spans="1:4" ht="12.95" customHeight="1" x14ac:dyDescent="0.25">
      <c r="A5911" s="2" t="s">
        <v>948</v>
      </c>
      <c r="B5911" s="2" t="s">
        <v>977</v>
      </c>
      <c r="C5911" s="5" t="s">
        <v>994</v>
      </c>
      <c r="D5911" s="2" t="s">
        <v>6058</v>
      </c>
    </row>
    <row r="5912" spans="1:4" ht="12.95" customHeight="1" x14ac:dyDescent="0.25">
      <c r="A5912" s="2" t="s">
        <v>948</v>
      </c>
      <c r="B5912" s="2" t="s">
        <v>977</v>
      </c>
      <c r="C5912" s="5" t="s">
        <v>1003</v>
      </c>
      <c r="D5912" s="2" t="s">
        <v>6059</v>
      </c>
    </row>
    <row r="5913" spans="1:4" ht="12.95" customHeight="1" x14ac:dyDescent="0.25">
      <c r="A5913" s="2" t="s">
        <v>948</v>
      </c>
      <c r="B5913" s="2" t="s">
        <v>977</v>
      </c>
      <c r="C5913" s="5" t="s">
        <v>1013</v>
      </c>
      <c r="D5913" s="2" t="s">
        <v>6060</v>
      </c>
    </row>
    <row r="5914" spans="1:4" ht="12.95" customHeight="1" x14ac:dyDescent="0.25">
      <c r="A5914" s="2" t="s">
        <v>948</v>
      </c>
      <c r="B5914" s="2" t="s">
        <v>977</v>
      </c>
      <c r="C5914" s="5" t="s">
        <v>1015</v>
      </c>
      <c r="D5914" s="2" t="s">
        <v>6081</v>
      </c>
    </row>
    <row r="5915" spans="1:4" ht="12.95" customHeight="1" x14ac:dyDescent="0.25">
      <c r="A5915" s="2" t="s">
        <v>948</v>
      </c>
      <c r="B5915" s="2" t="s">
        <v>977</v>
      </c>
      <c r="C5915" s="5" t="s">
        <v>1017</v>
      </c>
      <c r="D5915" s="2" t="s">
        <v>6062</v>
      </c>
    </row>
    <row r="5916" spans="1:4" ht="12.95" customHeight="1" x14ac:dyDescent="0.25">
      <c r="A5916" s="2" t="s">
        <v>948</v>
      </c>
      <c r="B5916" s="2" t="s">
        <v>977</v>
      </c>
      <c r="C5916" s="5" t="s">
        <v>1019</v>
      </c>
      <c r="D5916" s="2" t="s">
        <v>6083</v>
      </c>
    </row>
    <row r="5917" spans="1:4" ht="12.95" customHeight="1" x14ac:dyDescent="0.25">
      <c r="A5917" s="2" t="s">
        <v>948</v>
      </c>
      <c r="B5917" s="2" t="s">
        <v>977</v>
      </c>
      <c r="C5917" s="5" t="s">
        <v>1021</v>
      </c>
      <c r="D5917" s="2" t="s">
        <v>6064</v>
      </c>
    </row>
    <row r="5918" spans="1:4" ht="12.95" customHeight="1" x14ac:dyDescent="0.25">
      <c r="A5918" s="2" t="s">
        <v>948</v>
      </c>
      <c r="B5918" s="2" t="s">
        <v>977</v>
      </c>
      <c r="C5918" s="5" t="s">
        <v>1023</v>
      </c>
      <c r="D5918" s="2" t="s">
        <v>6084</v>
      </c>
    </row>
    <row r="5919" spans="1:4" ht="12.95" customHeight="1" x14ac:dyDescent="0.25">
      <c r="A5919" s="2" t="s">
        <v>948</v>
      </c>
      <c r="B5919" s="2" t="s">
        <v>977</v>
      </c>
      <c r="C5919" s="5" t="s">
        <v>1025</v>
      </c>
      <c r="D5919" s="2" t="s">
        <v>6190</v>
      </c>
    </row>
    <row r="5920" spans="1:4" ht="12.95" customHeight="1" x14ac:dyDescent="0.25">
      <c r="A5920" s="2" t="s">
        <v>948</v>
      </c>
      <c r="B5920" s="2" t="s">
        <v>977</v>
      </c>
      <c r="C5920" s="5" t="s">
        <v>1027</v>
      </c>
      <c r="D5920" s="2" t="s">
        <v>6067</v>
      </c>
    </row>
    <row r="5921" spans="1:4" ht="12.95" customHeight="1" x14ac:dyDescent="0.25">
      <c r="A5921" s="2" t="s">
        <v>948</v>
      </c>
      <c r="B5921" s="2" t="s">
        <v>977</v>
      </c>
      <c r="C5921" s="5" t="s">
        <v>1029</v>
      </c>
      <c r="D5921" s="2" t="s">
        <v>6085</v>
      </c>
    </row>
    <row r="5922" spans="1:4" ht="12.95" customHeight="1" x14ac:dyDescent="0.25">
      <c r="A5922" s="2" t="s">
        <v>948</v>
      </c>
      <c r="B5922" s="2" t="s">
        <v>977</v>
      </c>
      <c r="C5922" s="5" t="s">
        <v>1031</v>
      </c>
      <c r="D5922" s="2" t="s">
        <v>6069</v>
      </c>
    </row>
    <row r="5923" spans="1:4" ht="12.95" customHeight="1" x14ac:dyDescent="0.25">
      <c r="A5923" s="2" t="s">
        <v>948</v>
      </c>
      <c r="B5923" s="2" t="s">
        <v>977</v>
      </c>
      <c r="C5923" s="5" t="s">
        <v>1033</v>
      </c>
      <c r="D5923" s="2" t="s">
        <v>1000</v>
      </c>
    </row>
    <row r="5924" spans="1:4" ht="12.95" customHeight="1" x14ac:dyDescent="0.25">
      <c r="A5924" s="2" t="s">
        <v>948</v>
      </c>
      <c r="B5924" s="2" t="s">
        <v>977</v>
      </c>
      <c r="C5924" s="5" t="s">
        <v>1035</v>
      </c>
      <c r="D5924" s="2" t="s">
        <v>3129</v>
      </c>
    </row>
    <row r="5925" spans="1:4" ht="12.95" customHeight="1" x14ac:dyDescent="0.25">
      <c r="A5925" s="2" t="s">
        <v>948</v>
      </c>
      <c r="B5925" s="2" t="s">
        <v>977</v>
      </c>
      <c r="C5925" s="5" t="s">
        <v>1177</v>
      </c>
      <c r="D5925" s="2" t="s">
        <v>6071</v>
      </c>
    </row>
    <row r="5926" spans="1:4" ht="12.95" customHeight="1" x14ac:dyDescent="0.25">
      <c r="A5926" s="2" t="s">
        <v>948</v>
      </c>
      <c r="B5926" s="2" t="s">
        <v>977</v>
      </c>
      <c r="C5926" s="5" t="s">
        <v>1005</v>
      </c>
      <c r="D5926" s="2" t="s">
        <v>1006</v>
      </c>
    </row>
    <row r="5927" spans="1:4" ht="12.95" customHeight="1" x14ac:dyDescent="0.25">
      <c r="A5927" s="2" t="s">
        <v>951</v>
      </c>
      <c r="B5927" s="2" t="s">
        <v>977</v>
      </c>
      <c r="C5927" s="5" t="s">
        <v>982</v>
      </c>
      <c r="D5927" s="2" t="s">
        <v>983</v>
      </c>
    </row>
    <row r="5928" spans="1:4" ht="12.95" customHeight="1" x14ac:dyDescent="0.25">
      <c r="A5928" s="2" t="s">
        <v>954</v>
      </c>
      <c r="B5928" s="2" t="s">
        <v>977</v>
      </c>
      <c r="C5928" s="5" t="s">
        <v>996</v>
      </c>
      <c r="D5928" s="2" t="s">
        <v>997</v>
      </c>
    </row>
    <row r="5929" spans="1:4" ht="12.95" customHeight="1" x14ac:dyDescent="0.25">
      <c r="A5929" s="2" t="s">
        <v>954</v>
      </c>
      <c r="B5929" s="2" t="s">
        <v>977</v>
      </c>
      <c r="C5929" s="5" t="s">
        <v>978</v>
      </c>
      <c r="D5929" s="2" t="s">
        <v>979</v>
      </c>
    </row>
    <row r="5930" spans="1:4" ht="12.95" customHeight="1" x14ac:dyDescent="0.25">
      <c r="A5930" s="2" t="s">
        <v>954</v>
      </c>
      <c r="B5930" s="2" t="s">
        <v>977</v>
      </c>
      <c r="C5930" s="5" t="s">
        <v>980</v>
      </c>
      <c r="D5930" s="2" t="s">
        <v>981</v>
      </c>
    </row>
    <row r="5931" spans="1:4" ht="12.95" customHeight="1" x14ac:dyDescent="0.25">
      <c r="A5931" s="2" t="s">
        <v>954</v>
      </c>
      <c r="B5931" s="2" t="s">
        <v>977</v>
      </c>
      <c r="C5931" s="5" t="s">
        <v>982</v>
      </c>
      <c r="D5931" s="2" t="s">
        <v>983</v>
      </c>
    </row>
    <row r="5932" spans="1:4" ht="12.95" customHeight="1" x14ac:dyDescent="0.25">
      <c r="A5932" s="2" t="s">
        <v>954</v>
      </c>
      <c r="B5932" s="2" t="s">
        <v>977</v>
      </c>
      <c r="C5932" s="5" t="s">
        <v>1174</v>
      </c>
      <c r="D5932" s="2" t="s">
        <v>1059</v>
      </c>
    </row>
    <row r="5933" spans="1:4" ht="12.95" customHeight="1" x14ac:dyDescent="0.25">
      <c r="A5933" s="2" t="s">
        <v>954</v>
      </c>
      <c r="B5933" s="2" t="s">
        <v>977</v>
      </c>
      <c r="C5933" s="5" t="s">
        <v>984</v>
      </c>
      <c r="D5933" s="2" t="s">
        <v>3249</v>
      </c>
    </row>
    <row r="5934" spans="1:4" ht="12.95" customHeight="1" x14ac:dyDescent="0.25">
      <c r="A5934" s="2" t="s">
        <v>954</v>
      </c>
      <c r="B5934" s="2" t="s">
        <v>977</v>
      </c>
      <c r="C5934" s="5" t="s">
        <v>986</v>
      </c>
      <c r="D5934" s="2" t="s">
        <v>3250</v>
      </c>
    </row>
    <row r="5935" spans="1:4" ht="12.95" customHeight="1" x14ac:dyDescent="0.25">
      <c r="A5935" s="2" t="s">
        <v>954</v>
      </c>
      <c r="B5935" s="2" t="s">
        <v>977</v>
      </c>
      <c r="C5935" s="5" t="s">
        <v>988</v>
      </c>
      <c r="D5935" s="2" t="s">
        <v>3251</v>
      </c>
    </row>
    <row r="5936" spans="1:4" ht="12.95" customHeight="1" x14ac:dyDescent="0.25">
      <c r="A5936" s="2" t="s">
        <v>954</v>
      </c>
      <c r="B5936" s="2" t="s">
        <v>977</v>
      </c>
      <c r="C5936" s="5" t="s">
        <v>990</v>
      </c>
      <c r="D5936" s="2" t="s">
        <v>3252</v>
      </c>
    </row>
    <row r="5937" spans="1:4" ht="12.95" customHeight="1" x14ac:dyDescent="0.25">
      <c r="A5937" s="2" t="s">
        <v>954</v>
      </c>
      <c r="B5937" s="2" t="s">
        <v>977</v>
      </c>
      <c r="C5937" s="5" t="s">
        <v>992</v>
      </c>
      <c r="D5937" s="2" t="s">
        <v>3253</v>
      </c>
    </row>
    <row r="5938" spans="1:4" ht="12.95" customHeight="1" x14ac:dyDescent="0.25">
      <c r="A5938" s="2" t="s">
        <v>954</v>
      </c>
      <c r="B5938" s="2" t="s">
        <v>977</v>
      </c>
      <c r="C5938" s="5" t="s">
        <v>994</v>
      </c>
      <c r="D5938" s="2" t="s">
        <v>3254</v>
      </c>
    </row>
    <row r="5939" spans="1:4" ht="12.95" customHeight="1" x14ac:dyDescent="0.25">
      <c r="A5939" s="2" t="s">
        <v>954</v>
      </c>
      <c r="B5939" s="2" t="s">
        <v>977</v>
      </c>
      <c r="C5939" s="5" t="s">
        <v>1003</v>
      </c>
      <c r="D5939" s="2" t="s">
        <v>3255</v>
      </c>
    </row>
    <row r="5940" spans="1:4" ht="12.95" customHeight="1" x14ac:dyDescent="0.25">
      <c r="A5940" s="2" t="s">
        <v>954</v>
      </c>
      <c r="B5940" s="2" t="s">
        <v>977</v>
      </c>
      <c r="C5940" s="5" t="s">
        <v>1013</v>
      </c>
      <c r="D5940" s="2" t="s">
        <v>3256</v>
      </c>
    </row>
    <row r="5941" spans="1:4" ht="12.95" customHeight="1" x14ac:dyDescent="0.25">
      <c r="A5941" s="2" t="s">
        <v>954</v>
      </c>
      <c r="B5941" s="2" t="s">
        <v>977</v>
      </c>
      <c r="C5941" s="5" t="s">
        <v>1005</v>
      </c>
      <c r="D5941" s="2" t="s">
        <v>1037</v>
      </c>
    </row>
    <row r="5942" spans="1:4" ht="12.95" customHeight="1" x14ac:dyDescent="0.25">
      <c r="A5942" s="2" t="s">
        <v>956</v>
      </c>
      <c r="B5942" s="2" t="s">
        <v>977</v>
      </c>
      <c r="C5942" s="5" t="s">
        <v>996</v>
      </c>
      <c r="D5942" s="2" t="s">
        <v>997</v>
      </c>
    </row>
    <row r="5943" spans="1:4" ht="12.95" customHeight="1" x14ac:dyDescent="0.25">
      <c r="A5943" s="2" t="s">
        <v>956</v>
      </c>
      <c r="B5943" s="2" t="s">
        <v>977</v>
      </c>
      <c r="C5943" s="5" t="s">
        <v>978</v>
      </c>
      <c r="D5943" s="2" t="s">
        <v>979</v>
      </c>
    </row>
    <row r="5944" spans="1:4" ht="12.95" customHeight="1" x14ac:dyDescent="0.25">
      <c r="A5944" s="2" t="s">
        <v>956</v>
      </c>
      <c r="B5944" s="2" t="s">
        <v>977</v>
      </c>
      <c r="C5944" s="5" t="s">
        <v>980</v>
      </c>
      <c r="D5944" s="2" t="s">
        <v>981</v>
      </c>
    </row>
    <row r="5945" spans="1:4" ht="12.95" customHeight="1" x14ac:dyDescent="0.25">
      <c r="A5945" s="2" t="s">
        <v>956</v>
      </c>
      <c r="B5945" s="2" t="s">
        <v>977</v>
      </c>
      <c r="C5945" s="5" t="s">
        <v>982</v>
      </c>
      <c r="D5945" s="2" t="s">
        <v>983</v>
      </c>
    </row>
    <row r="5946" spans="1:4" ht="12.95" customHeight="1" x14ac:dyDescent="0.25">
      <c r="A5946" s="2" t="s">
        <v>956</v>
      </c>
      <c r="B5946" s="2" t="s">
        <v>977</v>
      </c>
      <c r="C5946" s="5" t="s">
        <v>1174</v>
      </c>
      <c r="D5946" s="2" t="s">
        <v>1059</v>
      </c>
    </row>
    <row r="5947" spans="1:4" ht="12.95" customHeight="1" x14ac:dyDescent="0.25">
      <c r="A5947" s="2" t="s">
        <v>956</v>
      </c>
      <c r="B5947" s="2" t="s">
        <v>977</v>
      </c>
      <c r="C5947" s="5" t="s">
        <v>984</v>
      </c>
      <c r="D5947" s="2" t="s">
        <v>3249</v>
      </c>
    </row>
    <row r="5948" spans="1:4" ht="12.95" customHeight="1" x14ac:dyDescent="0.25">
      <c r="A5948" s="2" t="s">
        <v>956</v>
      </c>
      <c r="B5948" s="2" t="s">
        <v>977</v>
      </c>
      <c r="C5948" s="5" t="s">
        <v>986</v>
      </c>
      <c r="D5948" s="2" t="s">
        <v>3250</v>
      </c>
    </row>
    <row r="5949" spans="1:4" ht="12.95" customHeight="1" x14ac:dyDescent="0.25">
      <c r="A5949" s="2" t="s">
        <v>956</v>
      </c>
      <c r="B5949" s="2" t="s">
        <v>977</v>
      </c>
      <c r="C5949" s="5" t="s">
        <v>988</v>
      </c>
      <c r="D5949" s="2" t="s">
        <v>3251</v>
      </c>
    </row>
    <row r="5950" spans="1:4" ht="12.95" customHeight="1" x14ac:dyDescent="0.25">
      <c r="A5950" s="2" t="s">
        <v>956</v>
      </c>
      <c r="B5950" s="2" t="s">
        <v>977</v>
      </c>
      <c r="C5950" s="5" t="s">
        <v>990</v>
      </c>
      <c r="D5950" s="2" t="s">
        <v>3252</v>
      </c>
    </row>
    <row r="5951" spans="1:4" ht="12.95" customHeight="1" x14ac:dyDescent="0.25">
      <c r="A5951" s="2" t="s">
        <v>956</v>
      </c>
      <c r="B5951" s="2" t="s">
        <v>977</v>
      </c>
      <c r="C5951" s="5" t="s">
        <v>992</v>
      </c>
      <c r="D5951" s="2" t="s">
        <v>3253</v>
      </c>
    </row>
    <row r="5952" spans="1:4" ht="12.95" customHeight="1" x14ac:dyDescent="0.25">
      <c r="A5952" s="2" t="s">
        <v>956</v>
      </c>
      <c r="B5952" s="2" t="s">
        <v>977</v>
      </c>
      <c r="C5952" s="5" t="s">
        <v>994</v>
      </c>
      <c r="D5952" s="2" t="s">
        <v>3254</v>
      </c>
    </row>
    <row r="5953" spans="1:4" ht="12.95" customHeight="1" x14ac:dyDescent="0.25">
      <c r="A5953" s="2" t="s">
        <v>956</v>
      </c>
      <c r="B5953" s="2" t="s">
        <v>977</v>
      </c>
      <c r="C5953" s="5" t="s">
        <v>1003</v>
      </c>
      <c r="D5953" s="2" t="s">
        <v>3255</v>
      </c>
    </row>
    <row r="5954" spans="1:4" ht="12.95" customHeight="1" x14ac:dyDescent="0.25">
      <c r="A5954" s="2" t="s">
        <v>956</v>
      </c>
      <c r="B5954" s="2" t="s">
        <v>977</v>
      </c>
      <c r="C5954" s="5" t="s">
        <v>1013</v>
      </c>
      <c r="D5954" s="2" t="s">
        <v>3256</v>
      </c>
    </row>
    <row r="5955" spans="1:4" ht="12.95" customHeight="1" x14ac:dyDescent="0.25">
      <c r="A5955" s="2" t="s">
        <v>956</v>
      </c>
      <c r="B5955" s="2" t="s">
        <v>977</v>
      </c>
      <c r="C5955" s="5" t="s">
        <v>1005</v>
      </c>
      <c r="D5955" s="2" t="s">
        <v>1037</v>
      </c>
    </row>
    <row r="5956" spans="1:4" ht="12.95" customHeight="1" x14ac:dyDescent="0.25">
      <c r="A5956" s="2" t="s">
        <v>958</v>
      </c>
      <c r="B5956" s="2" t="s">
        <v>977</v>
      </c>
      <c r="C5956" s="5" t="s">
        <v>996</v>
      </c>
      <c r="D5956" s="2" t="s">
        <v>997</v>
      </c>
    </row>
    <row r="5957" spans="1:4" ht="12.95" customHeight="1" x14ac:dyDescent="0.25">
      <c r="A5957" s="2" t="s">
        <v>958</v>
      </c>
      <c r="B5957" s="2" t="s">
        <v>977</v>
      </c>
      <c r="C5957" s="5" t="s">
        <v>978</v>
      </c>
      <c r="D5957" s="2" t="s">
        <v>979</v>
      </c>
    </row>
    <row r="5958" spans="1:4" ht="12.95" customHeight="1" x14ac:dyDescent="0.25">
      <c r="A5958" s="2" t="s">
        <v>958</v>
      </c>
      <c r="B5958" s="2" t="s">
        <v>977</v>
      </c>
      <c r="C5958" s="5" t="s">
        <v>980</v>
      </c>
      <c r="D5958" s="2" t="s">
        <v>981</v>
      </c>
    </row>
    <row r="5959" spans="1:4" ht="12.95" customHeight="1" x14ac:dyDescent="0.25">
      <c r="A5959" s="2" t="s">
        <v>958</v>
      </c>
      <c r="B5959" s="2" t="s">
        <v>977</v>
      </c>
      <c r="C5959" s="5" t="s">
        <v>982</v>
      </c>
      <c r="D5959" s="2" t="s">
        <v>983</v>
      </c>
    </row>
    <row r="5960" spans="1:4" ht="12.95" customHeight="1" x14ac:dyDescent="0.25">
      <c r="A5960" s="2" t="s">
        <v>958</v>
      </c>
      <c r="B5960" s="2" t="s">
        <v>977</v>
      </c>
      <c r="C5960" s="5" t="s">
        <v>1174</v>
      </c>
      <c r="D5960" s="2" t="s">
        <v>1059</v>
      </c>
    </row>
    <row r="5961" spans="1:4" ht="12.95" customHeight="1" x14ac:dyDescent="0.25">
      <c r="A5961" s="2" t="s">
        <v>958</v>
      </c>
      <c r="B5961" s="2" t="s">
        <v>977</v>
      </c>
      <c r="C5961" s="5" t="s">
        <v>984</v>
      </c>
      <c r="D5961" s="2" t="s">
        <v>3249</v>
      </c>
    </row>
    <row r="5962" spans="1:4" ht="12.95" customHeight="1" x14ac:dyDescent="0.25">
      <c r="A5962" s="2" t="s">
        <v>958</v>
      </c>
      <c r="B5962" s="2" t="s">
        <v>977</v>
      </c>
      <c r="C5962" s="5" t="s">
        <v>986</v>
      </c>
      <c r="D5962" s="2" t="s">
        <v>3250</v>
      </c>
    </row>
    <row r="5963" spans="1:4" ht="12.95" customHeight="1" x14ac:dyDescent="0.25">
      <c r="A5963" s="2" t="s">
        <v>958</v>
      </c>
      <c r="B5963" s="2" t="s">
        <v>977</v>
      </c>
      <c r="C5963" s="5" t="s">
        <v>988</v>
      </c>
      <c r="D5963" s="2" t="s">
        <v>3251</v>
      </c>
    </row>
    <row r="5964" spans="1:4" ht="12.95" customHeight="1" x14ac:dyDescent="0.25">
      <c r="A5964" s="2" t="s">
        <v>958</v>
      </c>
      <c r="B5964" s="2" t="s">
        <v>977</v>
      </c>
      <c r="C5964" s="5" t="s">
        <v>990</v>
      </c>
      <c r="D5964" s="2" t="s">
        <v>3252</v>
      </c>
    </row>
    <row r="5965" spans="1:4" ht="12.95" customHeight="1" x14ac:dyDescent="0.25">
      <c r="A5965" s="2" t="s">
        <v>958</v>
      </c>
      <c r="B5965" s="2" t="s">
        <v>977</v>
      </c>
      <c r="C5965" s="5" t="s">
        <v>992</v>
      </c>
      <c r="D5965" s="2" t="s">
        <v>3253</v>
      </c>
    </row>
    <row r="5966" spans="1:4" ht="12.95" customHeight="1" x14ac:dyDescent="0.25">
      <c r="A5966" s="2" t="s">
        <v>958</v>
      </c>
      <c r="B5966" s="2" t="s">
        <v>977</v>
      </c>
      <c r="C5966" s="5" t="s">
        <v>994</v>
      </c>
      <c r="D5966" s="2" t="s">
        <v>3254</v>
      </c>
    </row>
    <row r="5967" spans="1:4" ht="12.95" customHeight="1" x14ac:dyDescent="0.25">
      <c r="A5967" s="2" t="s">
        <v>958</v>
      </c>
      <c r="B5967" s="2" t="s">
        <v>977</v>
      </c>
      <c r="C5967" s="5" t="s">
        <v>1003</v>
      </c>
      <c r="D5967" s="2" t="s">
        <v>3255</v>
      </c>
    </row>
    <row r="5968" spans="1:4" ht="12.95" customHeight="1" x14ac:dyDescent="0.25">
      <c r="A5968" s="2" t="s">
        <v>958</v>
      </c>
      <c r="B5968" s="2" t="s">
        <v>977</v>
      </c>
      <c r="C5968" s="5" t="s">
        <v>1013</v>
      </c>
      <c r="D5968" s="2" t="s">
        <v>3256</v>
      </c>
    </row>
    <row r="5969" spans="1:4" ht="12.95" customHeight="1" x14ac:dyDescent="0.25">
      <c r="A5969" s="2" t="s">
        <v>958</v>
      </c>
      <c r="B5969" s="2" t="s">
        <v>977</v>
      </c>
      <c r="C5969" s="5" t="s">
        <v>1005</v>
      </c>
      <c r="D5969" s="2" t="s">
        <v>1037</v>
      </c>
    </row>
    <row r="5970" spans="1:4" ht="12.95" customHeight="1" x14ac:dyDescent="0.25">
      <c r="A5970" s="2" t="s">
        <v>960</v>
      </c>
      <c r="B5970" s="2" t="s">
        <v>977</v>
      </c>
      <c r="C5970" s="5" t="s">
        <v>996</v>
      </c>
      <c r="D5970" s="2" t="s">
        <v>997</v>
      </c>
    </row>
    <row r="5971" spans="1:4" ht="12.95" customHeight="1" x14ac:dyDescent="0.25">
      <c r="A5971" s="2" t="s">
        <v>960</v>
      </c>
      <c r="B5971" s="2" t="s">
        <v>977</v>
      </c>
      <c r="C5971" s="5" t="s">
        <v>978</v>
      </c>
      <c r="D5971" s="2" t="s">
        <v>979</v>
      </c>
    </row>
    <row r="5972" spans="1:4" ht="12.95" customHeight="1" x14ac:dyDescent="0.25">
      <c r="A5972" s="2" t="s">
        <v>960</v>
      </c>
      <c r="B5972" s="2" t="s">
        <v>977</v>
      </c>
      <c r="C5972" s="5" t="s">
        <v>980</v>
      </c>
      <c r="D5972" s="2" t="s">
        <v>981</v>
      </c>
    </row>
    <row r="5973" spans="1:4" ht="12.95" customHeight="1" x14ac:dyDescent="0.25">
      <c r="A5973" s="2" t="s">
        <v>960</v>
      </c>
      <c r="B5973" s="2" t="s">
        <v>977</v>
      </c>
      <c r="C5973" s="5" t="s">
        <v>982</v>
      </c>
      <c r="D5973" s="2" t="s">
        <v>983</v>
      </c>
    </row>
    <row r="5974" spans="1:4" ht="12.95" customHeight="1" x14ac:dyDescent="0.25">
      <c r="A5974" s="2" t="s">
        <v>960</v>
      </c>
      <c r="B5974" s="2" t="s">
        <v>977</v>
      </c>
      <c r="C5974" s="5" t="s">
        <v>984</v>
      </c>
      <c r="D5974" s="2" t="s">
        <v>1163</v>
      </c>
    </row>
    <row r="5975" spans="1:4" ht="12.95" customHeight="1" x14ac:dyDescent="0.25">
      <c r="A5975" s="2" t="s">
        <v>960</v>
      </c>
      <c r="B5975" s="2" t="s">
        <v>977</v>
      </c>
      <c r="C5975" s="5" t="s">
        <v>986</v>
      </c>
      <c r="D5975" s="2" t="s">
        <v>1164</v>
      </c>
    </row>
    <row r="5976" spans="1:4" ht="12.95" customHeight="1" x14ac:dyDescent="0.25">
      <c r="A5976" s="2" t="s">
        <v>960</v>
      </c>
      <c r="B5976" s="2" t="s">
        <v>977</v>
      </c>
      <c r="C5976" s="5" t="s">
        <v>988</v>
      </c>
      <c r="D5976" s="2" t="s">
        <v>1165</v>
      </c>
    </row>
    <row r="5977" spans="1:4" ht="12.95" customHeight="1" x14ac:dyDescent="0.25">
      <c r="A5977" s="2" t="s">
        <v>960</v>
      </c>
      <c r="B5977" s="2" t="s">
        <v>977</v>
      </c>
      <c r="C5977" s="5" t="s">
        <v>990</v>
      </c>
      <c r="D5977" s="2" t="s">
        <v>1166</v>
      </c>
    </row>
    <row r="5978" spans="1:4" ht="12.95" customHeight="1" x14ac:dyDescent="0.25">
      <c r="A5978" s="2" t="s">
        <v>960</v>
      </c>
      <c r="B5978" s="2" t="s">
        <v>977</v>
      </c>
      <c r="C5978" s="5" t="s">
        <v>992</v>
      </c>
      <c r="D5978" s="2" t="s">
        <v>6136</v>
      </c>
    </row>
    <row r="5979" spans="1:4" ht="12.95" customHeight="1" x14ac:dyDescent="0.25">
      <c r="A5979" s="2" t="s">
        <v>962</v>
      </c>
      <c r="B5979" s="2" t="s">
        <v>977</v>
      </c>
      <c r="C5979" s="5" t="s">
        <v>1168</v>
      </c>
      <c r="D5979" s="2" t="s">
        <v>979</v>
      </c>
    </row>
    <row r="5980" spans="1:4" ht="12.95" customHeight="1" x14ac:dyDescent="0.25">
      <c r="A5980" s="2" t="s">
        <v>962</v>
      </c>
      <c r="B5980" s="2" t="s">
        <v>977</v>
      </c>
      <c r="C5980" s="5" t="s">
        <v>1169</v>
      </c>
      <c r="D5980" s="2" t="s">
        <v>1041</v>
      </c>
    </row>
    <row r="5981" spans="1:4" ht="12.95" customHeight="1" x14ac:dyDescent="0.25">
      <c r="A5981" s="2" t="s">
        <v>962</v>
      </c>
      <c r="B5981" s="2" t="s">
        <v>977</v>
      </c>
      <c r="C5981" s="5" t="s">
        <v>996</v>
      </c>
      <c r="D5981" s="2" t="s">
        <v>997</v>
      </c>
    </row>
    <row r="5982" spans="1:4" ht="12.95" customHeight="1" x14ac:dyDescent="0.25">
      <c r="A5982" s="2" t="s">
        <v>962</v>
      </c>
      <c r="B5982" s="2" t="s">
        <v>977</v>
      </c>
      <c r="C5982" s="5" t="s">
        <v>978</v>
      </c>
      <c r="D5982" s="2" t="s">
        <v>1047</v>
      </c>
    </row>
    <row r="5983" spans="1:4" ht="12.95" customHeight="1" x14ac:dyDescent="0.25">
      <c r="A5983" s="2" t="s">
        <v>962</v>
      </c>
      <c r="B5983" s="2" t="s">
        <v>977</v>
      </c>
      <c r="C5983" s="5" t="s">
        <v>980</v>
      </c>
      <c r="D5983" s="2" t="s">
        <v>1041</v>
      </c>
    </row>
    <row r="5984" spans="1:4" ht="12.95" customHeight="1" x14ac:dyDescent="0.25">
      <c r="A5984" s="2" t="s">
        <v>962</v>
      </c>
      <c r="B5984" s="2" t="s">
        <v>977</v>
      </c>
      <c r="C5984" s="5" t="s">
        <v>982</v>
      </c>
      <c r="D5984" s="2" t="s">
        <v>983</v>
      </c>
    </row>
    <row r="5985" spans="1:4" ht="12.95" customHeight="1" x14ac:dyDescent="0.25">
      <c r="A5985" s="2" t="s">
        <v>967</v>
      </c>
      <c r="B5985" s="2" t="s">
        <v>977</v>
      </c>
      <c r="C5985" s="5" t="s">
        <v>996</v>
      </c>
      <c r="D5985" s="2" t="s">
        <v>997</v>
      </c>
    </row>
    <row r="5986" spans="1:4" ht="12.95" customHeight="1" x14ac:dyDescent="0.25">
      <c r="A5986" s="2" t="s">
        <v>967</v>
      </c>
      <c r="B5986" s="2" t="s">
        <v>977</v>
      </c>
      <c r="C5986" s="5" t="s">
        <v>978</v>
      </c>
      <c r="D5986" s="2" t="s">
        <v>979</v>
      </c>
    </row>
    <row r="5987" spans="1:4" ht="12.95" customHeight="1" x14ac:dyDescent="0.25">
      <c r="A5987" s="2" t="s">
        <v>967</v>
      </c>
      <c r="B5987" s="2" t="s">
        <v>977</v>
      </c>
      <c r="C5987" s="5" t="s">
        <v>980</v>
      </c>
      <c r="D5987" s="2" t="s">
        <v>981</v>
      </c>
    </row>
    <row r="5988" spans="1:4" ht="12.95" customHeight="1" x14ac:dyDescent="0.25">
      <c r="A5988" s="2" t="s">
        <v>967</v>
      </c>
      <c r="B5988" s="2" t="s">
        <v>977</v>
      </c>
      <c r="C5988" s="5" t="s">
        <v>982</v>
      </c>
      <c r="D5988" s="2" t="s">
        <v>983</v>
      </c>
    </row>
    <row r="5989" spans="1:4" ht="12.95" customHeight="1" x14ac:dyDescent="0.25">
      <c r="A5989" s="2" t="s">
        <v>970</v>
      </c>
      <c r="B5989" s="2" t="s">
        <v>977</v>
      </c>
      <c r="C5989" s="5" t="s">
        <v>978</v>
      </c>
      <c r="D5989" s="2" t="s">
        <v>979</v>
      </c>
    </row>
    <row r="5990" spans="1:4" ht="12.95" customHeight="1" x14ac:dyDescent="0.25">
      <c r="A5990" s="2" t="s">
        <v>970</v>
      </c>
      <c r="B5990" s="2" t="s">
        <v>977</v>
      </c>
      <c r="C5990" s="5" t="s">
        <v>980</v>
      </c>
      <c r="D5990" s="2" t="s">
        <v>981</v>
      </c>
    </row>
    <row r="5991" spans="1:4" ht="12.95" customHeight="1" x14ac:dyDescent="0.25">
      <c r="A5991" s="2" t="s">
        <v>970</v>
      </c>
      <c r="B5991" s="2" t="s">
        <v>977</v>
      </c>
      <c r="C5991" s="5" t="s">
        <v>982</v>
      </c>
      <c r="D5991" s="2" t="s">
        <v>983</v>
      </c>
    </row>
    <row r="5992" spans="1:4" ht="12.95" customHeight="1" x14ac:dyDescent="0.25">
      <c r="A5992" s="2" t="s">
        <v>970</v>
      </c>
      <c r="B5992" s="2" t="s">
        <v>977</v>
      </c>
      <c r="C5992" s="5" t="s">
        <v>984</v>
      </c>
      <c r="D5992" s="2" t="s">
        <v>6191</v>
      </c>
    </row>
    <row r="5993" spans="1:4" ht="12.95" customHeight="1" x14ac:dyDescent="0.25">
      <c r="A5993" s="2" t="s">
        <v>970</v>
      </c>
      <c r="B5993" s="2" t="s">
        <v>977</v>
      </c>
      <c r="C5993" s="5" t="s">
        <v>986</v>
      </c>
      <c r="D5993" s="2" t="s">
        <v>6192</v>
      </c>
    </row>
    <row r="5994" spans="1:4" ht="12.95" customHeight="1" x14ac:dyDescent="0.25">
      <c r="A5994" s="2" t="s">
        <v>970</v>
      </c>
      <c r="B5994" s="2" t="s">
        <v>977</v>
      </c>
      <c r="C5994" s="5" t="s">
        <v>988</v>
      </c>
      <c r="D5994" s="2" t="s">
        <v>6193</v>
      </c>
    </row>
    <row r="5995" spans="1:4" ht="12.95" customHeight="1" x14ac:dyDescent="0.25">
      <c r="A5995" s="2" t="s">
        <v>973</v>
      </c>
      <c r="B5995" s="2" t="s">
        <v>1060</v>
      </c>
      <c r="C5995" s="5" t="s">
        <v>996</v>
      </c>
      <c r="D5995" s="2" t="s">
        <v>997</v>
      </c>
    </row>
    <row r="5996" spans="1:4" ht="12.95" customHeight="1" x14ac:dyDescent="0.25">
      <c r="A5996" s="2" t="s">
        <v>973</v>
      </c>
      <c r="B5996" s="2" t="s">
        <v>1060</v>
      </c>
      <c r="C5996" s="5" t="s">
        <v>982</v>
      </c>
      <c r="D5996" s="2" t="s">
        <v>983</v>
      </c>
    </row>
  </sheetData>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
  <sheetViews>
    <sheetView workbookViewId="0"/>
  </sheetViews>
  <sheetFormatPr defaultRowHeight="15" x14ac:dyDescent="0.25"/>
  <cols>
    <col min="1" max="1" width="13.7109375" customWidth="1"/>
    <col min="2" max="2" width="60.7109375" customWidth="1"/>
    <col min="3" max="3" width="25.7109375" customWidth="1"/>
    <col min="4" max="4" width="40.7109375" customWidth="1"/>
  </cols>
  <sheetData>
    <row r="1" spans="1:4" ht="30" customHeight="1" x14ac:dyDescent="0.25">
      <c r="A1" s="1" t="s">
        <v>0</v>
      </c>
      <c r="B1" s="1" t="s">
        <v>6194</v>
      </c>
      <c r="C1" s="1" t="s">
        <v>6195</v>
      </c>
      <c r="D1" s="1" t="s">
        <v>6196</v>
      </c>
    </row>
    <row r="2" spans="1:4" ht="75.95" customHeight="1" x14ac:dyDescent="0.25">
      <c r="A2" s="3" t="s">
        <v>1040</v>
      </c>
      <c r="B2" s="2" t="s">
        <v>6197</v>
      </c>
      <c r="C2" s="2" t="s">
        <v>273</v>
      </c>
      <c r="D2" s="2" t="s">
        <v>6198</v>
      </c>
    </row>
    <row r="3" spans="1:4" ht="75.95" customHeight="1" x14ac:dyDescent="0.25">
      <c r="A3" s="3" t="s">
        <v>977</v>
      </c>
      <c r="B3" s="2" t="s">
        <v>6199</v>
      </c>
      <c r="C3" s="2" t="s">
        <v>6200</v>
      </c>
      <c r="D3" s="2" t="s">
        <v>6201</v>
      </c>
    </row>
    <row r="4" spans="1:4" ht="75.95" customHeight="1" x14ac:dyDescent="0.25">
      <c r="A4" s="3" t="s">
        <v>1007</v>
      </c>
      <c r="B4" s="2" t="s">
        <v>6202</v>
      </c>
      <c r="C4" s="2" t="s">
        <v>6203</v>
      </c>
      <c r="D4" s="2" t="s">
        <v>6204</v>
      </c>
    </row>
    <row r="5" spans="1:4" ht="75.95" customHeight="1" x14ac:dyDescent="0.25">
      <c r="A5" s="3" t="s">
        <v>1154</v>
      </c>
      <c r="B5" s="2" t="s">
        <v>6205</v>
      </c>
      <c r="C5" s="2" t="s">
        <v>6206</v>
      </c>
      <c r="D5" s="2" t="s">
        <v>6207</v>
      </c>
    </row>
    <row r="6" spans="1:4" ht="75.95" customHeight="1" x14ac:dyDescent="0.25">
      <c r="A6" s="3" t="s">
        <v>1060</v>
      </c>
      <c r="B6" s="2" t="s">
        <v>6208</v>
      </c>
      <c r="C6" s="2" t="s">
        <v>6209</v>
      </c>
      <c r="D6" s="2" t="s">
        <v>6210</v>
      </c>
    </row>
  </sheetData>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4"/>
  <sheetViews>
    <sheetView topLeftCell="A45" workbookViewId="0">
      <selection activeCell="B72" sqref="B72"/>
    </sheetView>
  </sheetViews>
  <sheetFormatPr defaultRowHeight="15" x14ac:dyDescent="0.25"/>
  <cols>
    <col min="1" max="1" width="25.7109375" customWidth="1"/>
    <col min="2" max="2" width="60.7109375" customWidth="1"/>
    <col min="3" max="4" width="25.7109375" customWidth="1"/>
  </cols>
  <sheetData>
    <row r="1" spans="1:4" x14ac:dyDescent="0.25">
      <c r="A1" s="3352" t="s">
        <v>6221</v>
      </c>
      <c r="B1" s="3352"/>
      <c r="C1" s="3352"/>
      <c r="D1" s="3352"/>
    </row>
    <row r="2" spans="1:4" ht="30" customHeight="1" x14ac:dyDescent="0.25">
      <c r="A2" s="1" t="s">
        <v>0</v>
      </c>
      <c r="B2" s="1" t="s">
        <v>6194</v>
      </c>
      <c r="C2" s="1" t="s">
        <v>6195</v>
      </c>
      <c r="D2" s="1" t="s">
        <v>6196</v>
      </c>
    </row>
    <row r="3" spans="1:4" ht="24" x14ac:dyDescent="0.25">
      <c r="A3" s="3" t="s">
        <v>6211</v>
      </c>
      <c r="B3" s="2" t="s">
        <v>6212</v>
      </c>
      <c r="C3" s="2" t="s">
        <v>273</v>
      </c>
      <c r="D3" s="2" t="s">
        <v>6213</v>
      </c>
    </row>
    <row r="4" spans="1:4" ht="24" x14ac:dyDescent="0.25">
      <c r="A4" s="3" t="s">
        <v>6214</v>
      </c>
      <c r="B4" s="2" t="s">
        <v>6215</v>
      </c>
      <c r="C4" s="2" t="s">
        <v>6200</v>
      </c>
      <c r="D4" s="2" t="s">
        <v>6216</v>
      </c>
    </row>
    <row r="5" spans="1:4" ht="24" x14ac:dyDescent="0.25">
      <c r="A5" s="3" t="s">
        <v>6217</v>
      </c>
      <c r="B5" s="2" t="s">
        <v>6218</v>
      </c>
      <c r="C5" s="2" t="s">
        <v>273</v>
      </c>
      <c r="D5" s="2" t="s">
        <v>6213</v>
      </c>
    </row>
    <row r="6" spans="1:4" ht="24" x14ac:dyDescent="0.25">
      <c r="A6" s="3" t="s">
        <v>6219</v>
      </c>
      <c r="B6" s="2" t="s">
        <v>6220</v>
      </c>
      <c r="C6" s="2" t="s">
        <v>6200</v>
      </c>
      <c r="D6" s="2" t="s">
        <v>6216</v>
      </c>
    </row>
    <row r="8" spans="1:4" x14ac:dyDescent="0.25">
      <c r="A8" s="3352" t="s">
        <v>6287</v>
      </c>
      <c r="B8" s="3352"/>
      <c r="C8" s="3352"/>
    </row>
    <row r="9" spans="1:4" ht="30" customHeight="1" x14ac:dyDescent="0.25">
      <c r="A9" s="1" t="s">
        <v>0</v>
      </c>
      <c r="B9" s="1" t="s">
        <v>6194</v>
      </c>
      <c r="C9" s="1" t="s">
        <v>6222</v>
      </c>
    </row>
    <row r="10" spans="1:4" x14ac:dyDescent="0.25">
      <c r="A10" s="3" t="s">
        <v>6223</v>
      </c>
      <c r="B10" s="2" t="s">
        <v>6224</v>
      </c>
      <c r="C10" s="2" t="s">
        <v>6217</v>
      </c>
    </row>
    <row r="11" spans="1:4" x14ac:dyDescent="0.25">
      <c r="A11" s="3" t="s">
        <v>6225</v>
      </c>
      <c r="B11" s="2" t="s">
        <v>6226</v>
      </c>
      <c r="C11" s="2" t="s">
        <v>6217</v>
      </c>
    </row>
    <row r="12" spans="1:4" x14ac:dyDescent="0.25">
      <c r="A12" s="3" t="s">
        <v>6227</v>
      </c>
      <c r="B12" s="2" t="s">
        <v>6228</v>
      </c>
      <c r="C12" s="2" t="s">
        <v>6217</v>
      </c>
    </row>
    <row r="13" spans="1:4" x14ac:dyDescent="0.25">
      <c r="A13" s="3" t="s">
        <v>273</v>
      </c>
      <c r="B13" s="2" t="s">
        <v>6229</v>
      </c>
      <c r="C13" s="2" t="s">
        <v>6217</v>
      </c>
    </row>
    <row r="14" spans="1:4" x14ac:dyDescent="0.25">
      <c r="A14" s="3" t="s">
        <v>6230</v>
      </c>
      <c r="B14" s="2" t="s">
        <v>6231</v>
      </c>
      <c r="C14" s="2" t="s">
        <v>6217</v>
      </c>
    </row>
    <row r="15" spans="1:4" x14ac:dyDescent="0.25">
      <c r="A15" s="3" t="s">
        <v>6232</v>
      </c>
      <c r="B15" s="2" t="s">
        <v>6233</v>
      </c>
      <c r="C15" s="2" t="s">
        <v>6217</v>
      </c>
    </row>
    <row r="16" spans="1:4" x14ac:dyDescent="0.25">
      <c r="A16" s="3" t="s">
        <v>6234</v>
      </c>
      <c r="B16" s="2" t="s">
        <v>6235</v>
      </c>
      <c r="C16" s="2" t="s">
        <v>6217</v>
      </c>
    </row>
    <row r="17" spans="1:3" x14ac:dyDescent="0.25">
      <c r="A17" s="3" t="s">
        <v>6236</v>
      </c>
      <c r="B17" s="2" t="s">
        <v>6237</v>
      </c>
      <c r="C17" s="2" t="s">
        <v>6217</v>
      </c>
    </row>
    <row r="18" spans="1:3" x14ac:dyDescent="0.25">
      <c r="A18" s="3" t="s">
        <v>6238</v>
      </c>
      <c r="B18" s="2" t="s">
        <v>6239</v>
      </c>
      <c r="C18" s="2" t="s">
        <v>6217</v>
      </c>
    </row>
    <row r="19" spans="1:3" x14ac:dyDescent="0.25">
      <c r="A19" s="3" t="s">
        <v>6240</v>
      </c>
      <c r="B19" s="2" t="s">
        <v>6241</v>
      </c>
      <c r="C19" s="2" t="s">
        <v>6217</v>
      </c>
    </row>
    <row r="20" spans="1:3" x14ac:dyDescent="0.25">
      <c r="A20" s="3" t="s">
        <v>6242</v>
      </c>
      <c r="B20" s="2" t="s">
        <v>6243</v>
      </c>
      <c r="C20" s="2" t="s">
        <v>6217</v>
      </c>
    </row>
    <row r="21" spans="1:3" x14ac:dyDescent="0.25">
      <c r="A21" s="3" t="s">
        <v>594</v>
      </c>
      <c r="B21" s="2" t="s">
        <v>595</v>
      </c>
      <c r="C21" s="2" t="s">
        <v>6217</v>
      </c>
    </row>
    <row r="22" spans="1:3" x14ac:dyDescent="0.25">
      <c r="A22" s="3" t="s">
        <v>6244</v>
      </c>
      <c r="B22" s="2" t="s">
        <v>6245</v>
      </c>
      <c r="C22" s="2" t="s">
        <v>6217</v>
      </c>
    </row>
    <row r="23" spans="1:3" x14ac:dyDescent="0.25">
      <c r="A23" s="3" t="s">
        <v>6246</v>
      </c>
      <c r="B23" s="2" t="s">
        <v>6247</v>
      </c>
      <c r="C23" s="2" t="s">
        <v>6217</v>
      </c>
    </row>
    <row r="24" spans="1:3" x14ac:dyDescent="0.25">
      <c r="A24" s="3" t="s">
        <v>6248</v>
      </c>
      <c r="B24" s="2" t="s">
        <v>6249</v>
      </c>
      <c r="C24" s="2" t="s">
        <v>6217</v>
      </c>
    </row>
    <row r="25" spans="1:3" x14ac:dyDescent="0.25">
      <c r="A25" s="3" t="s">
        <v>6250</v>
      </c>
      <c r="B25" s="2" t="s">
        <v>6251</v>
      </c>
      <c r="C25" s="2" t="s">
        <v>6217</v>
      </c>
    </row>
    <row r="26" spans="1:3" x14ac:dyDescent="0.25">
      <c r="A26" s="3" t="s">
        <v>6252</v>
      </c>
      <c r="B26" s="2" t="s">
        <v>6253</v>
      </c>
      <c r="C26" s="2" t="s">
        <v>6217</v>
      </c>
    </row>
    <row r="27" spans="1:3" x14ac:dyDescent="0.25">
      <c r="A27" s="3" t="s">
        <v>6223</v>
      </c>
      <c r="B27" s="2" t="s">
        <v>6224</v>
      </c>
      <c r="C27" s="2" t="s">
        <v>6211</v>
      </c>
    </row>
    <row r="28" spans="1:3" x14ac:dyDescent="0.25">
      <c r="A28" s="3" t="s">
        <v>6254</v>
      </c>
      <c r="B28" s="2" t="s">
        <v>6226</v>
      </c>
      <c r="C28" s="2" t="s">
        <v>6211</v>
      </c>
    </row>
    <row r="29" spans="1:3" x14ac:dyDescent="0.25">
      <c r="A29" s="3" t="s">
        <v>273</v>
      </c>
      <c r="B29" s="2" t="s">
        <v>6229</v>
      </c>
      <c r="C29" s="2" t="s">
        <v>6211</v>
      </c>
    </row>
    <row r="30" spans="1:3" x14ac:dyDescent="0.25">
      <c r="A30" s="3" t="s">
        <v>6230</v>
      </c>
      <c r="B30" s="2" t="s">
        <v>6231</v>
      </c>
      <c r="C30" s="2" t="s">
        <v>6211</v>
      </c>
    </row>
    <row r="31" spans="1:3" x14ac:dyDescent="0.25">
      <c r="A31" s="3" t="s">
        <v>6232</v>
      </c>
      <c r="B31" s="2" t="s">
        <v>6233</v>
      </c>
      <c r="C31" s="2" t="s">
        <v>6211</v>
      </c>
    </row>
    <row r="32" spans="1:3" x14ac:dyDescent="0.25">
      <c r="A32" s="3" t="s">
        <v>6255</v>
      </c>
      <c r="B32" s="2" t="s">
        <v>6235</v>
      </c>
      <c r="C32" s="2" t="s">
        <v>6211</v>
      </c>
    </row>
    <row r="33" spans="1:3" x14ac:dyDescent="0.25">
      <c r="A33" s="3" t="s">
        <v>6256</v>
      </c>
      <c r="B33" s="2" t="s">
        <v>6237</v>
      </c>
      <c r="C33" s="2" t="s">
        <v>6211</v>
      </c>
    </row>
    <row r="34" spans="1:3" x14ac:dyDescent="0.25">
      <c r="A34" s="3" t="s">
        <v>6257</v>
      </c>
      <c r="B34" s="2" t="s">
        <v>6239</v>
      </c>
      <c r="C34" s="2" t="s">
        <v>6211</v>
      </c>
    </row>
    <row r="35" spans="1:3" x14ac:dyDescent="0.25">
      <c r="A35" s="3" t="s">
        <v>6240</v>
      </c>
      <c r="B35" s="2" t="s">
        <v>6241</v>
      </c>
      <c r="C35" s="2" t="s">
        <v>6211</v>
      </c>
    </row>
    <row r="36" spans="1:3" x14ac:dyDescent="0.25">
      <c r="A36" s="3" t="s">
        <v>6242</v>
      </c>
      <c r="B36" s="2" t="s">
        <v>6243</v>
      </c>
      <c r="C36" s="2" t="s">
        <v>6211</v>
      </c>
    </row>
    <row r="37" spans="1:3" x14ac:dyDescent="0.25">
      <c r="A37" s="3" t="s">
        <v>594</v>
      </c>
      <c r="B37" s="2" t="s">
        <v>595</v>
      </c>
      <c r="C37" s="2" t="s">
        <v>6211</v>
      </c>
    </row>
    <row r="38" spans="1:3" x14ac:dyDescent="0.25">
      <c r="A38" s="3" t="s">
        <v>6244</v>
      </c>
      <c r="B38" s="2" t="s">
        <v>6245</v>
      </c>
      <c r="C38" s="2" t="s">
        <v>6211</v>
      </c>
    </row>
    <row r="39" spans="1:3" x14ac:dyDescent="0.25">
      <c r="A39" s="3" t="s">
        <v>6246</v>
      </c>
      <c r="B39" s="2" t="s">
        <v>6247</v>
      </c>
      <c r="C39" s="2" t="s">
        <v>6211</v>
      </c>
    </row>
    <row r="40" spans="1:3" x14ac:dyDescent="0.25">
      <c r="A40" s="3" t="s">
        <v>6248</v>
      </c>
      <c r="B40" s="2" t="s">
        <v>6249</v>
      </c>
      <c r="C40" s="2" t="s">
        <v>6211</v>
      </c>
    </row>
    <row r="41" spans="1:3" x14ac:dyDescent="0.25">
      <c r="A41" s="3" t="s">
        <v>6258</v>
      </c>
      <c r="B41" s="2" t="s">
        <v>6259</v>
      </c>
      <c r="C41" s="2" t="s">
        <v>6211</v>
      </c>
    </row>
    <row r="42" spans="1:3" x14ac:dyDescent="0.25">
      <c r="A42" s="3" t="s">
        <v>6260</v>
      </c>
      <c r="B42" s="2" t="s">
        <v>6261</v>
      </c>
      <c r="C42" s="2" t="s">
        <v>6211</v>
      </c>
    </row>
    <row r="43" spans="1:3" x14ac:dyDescent="0.25">
      <c r="A43" s="3" t="s">
        <v>6223</v>
      </c>
      <c r="B43" s="2" t="s">
        <v>6224</v>
      </c>
      <c r="C43" s="2" t="s">
        <v>6219</v>
      </c>
    </row>
    <row r="44" spans="1:3" x14ac:dyDescent="0.25">
      <c r="A44" s="3" t="s">
        <v>6227</v>
      </c>
      <c r="B44" s="2" t="s">
        <v>6228</v>
      </c>
      <c r="C44" s="2" t="s">
        <v>6219</v>
      </c>
    </row>
    <row r="45" spans="1:3" x14ac:dyDescent="0.25">
      <c r="A45" s="3" t="s">
        <v>273</v>
      </c>
      <c r="B45" s="2" t="s">
        <v>6229</v>
      </c>
      <c r="C45" s="2" t="s">
        <v>6219</v>
      </c>
    </row>
    <row r="46" spans="1:3" x14ac:dyDescent="0.25">
      <c r="A46" s="3" t="s">
        <v>6230</v>
      </c>
      <c r="B46" s="2" t="s">
        <v>6231</v>
      </c>
      <c r="C46" s="2" t="s">
        <v>6219</v>
      </c>
    </row>
    <row r="47" spans="1:3" x14ac:dyDescent="0.25">
      <c r="A47" s="3" t="s">
        <v>496</v>
      </c>
      <c r="B47" s="2" t="s">
        <v>6262</v>
      </c>
      <c r="C47" s="2" t="s">
        <v>6219</v>
      </c>
    </row>
    <row r="48" spans="1:3" x14ac:dyDescent="0.25">
      <c r="A48" s="3" t="s">
        <v>6263</v>
      </c>
      <c r="B48" s="2" t="s">
        <v>6235</v>
      </c>
      <c r="C48" s="2" t="s">
        <v>6219</v>
      </c>
    </row>
    <row r="49" spans="1:3" x14ac:dyDescent="0.25">
      <c r="A49" s="3" t="s">
        <v>6264</v>
      </c>
      <c r="B49" s="2" t="s">
        <v>6237</v>
      </c>
      <c r="C49" s="2" t="s">
        <v>6219</v>
      </c>
    </row>
    <row r="50" spans="1:3" x14ac:dyDescent="0.25">
      <c r="A50" s="3" t="s">
        <v>6265</v>
      </c>
      <c r="B50" s="2" t="s">
        <v>6239</v>
      </c>
      <c r="C50" s="2" t="s">
        <v>6219</v>
      </c>
    </row>
    <row r="51" spans="1:3" x14ac:dyDescent="0.25">
      <c r="A51" s="3" t="s">
        <v>6266</v>
      </c>
      <c r="B51" s="2" t="s">
        <v>6226</v>
      </c>
      <c r="C51" s="2" t="s">
        <v>6219</v>
      </c>
    </row>
    <row r="52" spans="1:3" x14ac:dyDescent="0.25">
      <c r="A52" s="3" t="s">
        <v>594</v>
      </c>
      <c r="B52" s="2" t="s">
        <v>595</v>
      </c>
      <c r="C52" s="2" t="s">
        <v>6219</v>
      </c>
    </row>
    <row r="53" spans="1:3" x14ac:dyDescent="0.25">
      <c r="A53" s="3" t="s">
        <v>6246</v>
      </c>
      <c r="B53" s="2" t="s">
        <v>6247</v>
      </c>
      <c r="C53" s="2" t="s">
        <v>6219</v>
      </c>
    </row>
    <row r="54" spans="1:3" x14ac:dyDescent="0.25">
      <c r="A54" s="3" t="s">
        <v>6248</v>
      </c>
      <c r="B54" s="2" t="s">
        <v>6249</v>
      </c>
      <c r="C54" s="2" t="s">
        <v>6219</v>
      </c>
    </row>
    <row r="55" spans="1:3" x14ac:dyDescent="0.25">
      <c r="A55" s="3" t="s">
        <v>6267</v>
      </c>
      <c r="B55" s="2" t="s">
        <v>6268</v>
      </c>
      <c r="C55" s="2" t="s">
        <v>6219</v>
      </c>
    </row>
    <row r="56" spans="1:3" x14ac:dyDescent="0.25">
      <c r="A56" s="3" t="s">
        <v>6269</v>
      </c>
      <c r="B56" s="2" t="s">
        <v>6270</v>
      </c>
      <c r="C56" s="2" t="s">
        <v>6219</v>
      </c>
    </row>
    <row r="57" spans="1:3" x14ac:dyDescent="0.25">
      <c r="A57" s="3" t="s">
        <v>6271</v>
      </c>
      <c r="B57" s="2" t="s">
        <v>6272</v>
      </c>
      <c r="C57" s="2" t="s">
        <v>6219</v>
      </c>
    </row>
    <row r="58" spans="1:3" x14ac:dyDescent="0.25">
      <c r="A58" s="3" t="s">
        <v>6273</v>
      </c>
      <c r="B58" s="2" t="s">
        <v>6274</v>
      </c>
      <c r="C58" s="2" t="s">
        <v>6219</v>
      </c>
    </row>
    <row r="59" spans="1:3" x14ac:dyDescent="0.25">
      <c r="A59" s="3" t="s">
        <v>6223</v>
      </c>
      <c r="B59" s="2" t="s">
        <v>6224</v>
      </c>
      <c r="C59" s="2" t="s">
        <v>6214</v>
      </c>
    </row>
    <row r="60" spans="1:3" x14ac:dyDescent="0.25">
      <c r="A60" s="3" t="s">
        <v>273</v>
      </c>
      <c r="B60" s="2" t="s">
        <v>6229</v>
      </c>
      <c r="C60" s="2" t="s">
        <v>6214</v>
      </c>
    </row>
    <row r="61" spans="1:3" x14ac:dyDescent="0.25">
      <c r="A61" s="3" t="s">
        <v>6230</v>
      </c>
      <c r="B61" s="2" t="s">
        <v>6231</v>
      </c>
      <c r="C61" s="2" t="s">
        <v>6214</v>
      </c>
    </row>
    <row r="62" spans="1:3" x14ac:dyDescent="0.25">
      <c r="A62" s="3" t="s">
        <v>496</v>
      </c>
      <c r="B62" s="2" t="s">
        <v>6262</v>
      </c>
      <c r="C62" s="2" t="s">
        <v>6214</v>
      </c>
    </row>
    <row r="63" spans="1:3" x14ac:dyDescent="0.25">
      <c r="A63" s="3" t="s">
        <v>6275</v>
      </c>
      <c r="B63" s="2" t="s">
        <v>6235</v>
      </c>
      <c r="C63" s="2" t="s">
        <v>6214</v>
      </c>
    </row>
    <row r="64" spans="1:3" x14ac:dyDescent="0.25">
      <c r="A64" s="3" t="s">
        <v>6276</v>
      </c>
      <c r="B64" s="2" t="s">
        <v>6237</v>
      </c>
      <c r="C64" s="2" t="s">
        <v>6214</v>
      </c>
    </row>
    <row r="65" spans="1:3" x14ac:dyDescent="0.25">
      <c r="A65" s="3" t="s">
        <v>6277</v>
      </c>
      <c r="B65" s="2" t="s">
        <v>6239</v>
      </c>
      <c r="C65" s="2" t="s">
        <v>6214</v>
      </c>
    </row>
    <row r="66" spans="1:3" x14ac:dyDescent="0.25">
      <c r="A66" s="3" t="s">
        <v>6278</v>
      </c>
      <c r="B66" s="2" t="s">
        <v>6226</v>
      </c>
      <c r="C66" s="2" t="s">
        <v>6214</v>
      </c>
    </row>
    <row r="67" spans="1:3" x14ac:dyDescent="0.25">
      <c r="A67" s="3" t="s">
        <v>594</v>
      </c>
      <c r="B67" s="2" t="s">
        <v>595</v>
      </c>
      <c r="C67" s="2" t="s">
        <v>6214</v>
      </c>
    </row>
    <row r="68" spans="1:3" x14ac:dyDescent="0.25">
      <c r="A68" s="3" t="s">
        <v>6246</v>
      </c>
      <c r="B68" s="2" t="s">
        <v>6247</v>
      </c>
      <c r="C68" s="2" t="s">
        <v>6214</v>
      </c>
    </row>
    <row r="69" spans="1:3" x14ac:dyDescent="0.25">
      <c r="A69" s="3" t="s">
        <v>6248</v>
      </c>
      <c r="B69" s="2" t="s">
        <v>6249</v>
      </c>
      <c r="C69" s="2" t="s">
        <v>6214</v>
      </c>
    </row>
    <row r="70" spans="1:3" x14ac:dyDescent="0.25">
      <c r="A70" s="3" t="s">
        <v>6279</v>
      </c>
      <c r="B70" s="2" t="s">
        <v>6280</v>
      </c>
      <c r="C70" s="2" t="s">
        <v>6214</v>
      </c>
    </row>
    <row r="71" spans="1:3" x14ac:dyDescent="0.25">
      <c r="A71" s="3" t="s">
        <v>6281</v>
      </c>
      <c r="B71" s="2" t="s">
        <v>6282</v>
      </c>
      <c r="C71" s="2" t="s">
        <v>6214</v>
      </c>
    </row>
    <row r="72" spans="1:3" x14ac:dyDescent="0.25">
      <c r="A72" s="3" t="s">
        <v>6283</v>
      </c>
      <c r="B72" s="2" t="s">
        <v>6284</v>
      </c>
      <c r="C72" s="2" t="s">
        <v>6214</v>
      </c>
    </row>
    <row r="73" spans="1:3" x14ac:dyDescent="0.25">
      <c r="A73" s="3" t="s">
        <v>6285</v>
      </c>
      <c r="B73" s="2" t="s">
        <v>6286</v>
      </c>
      <c r="C73" s="2" t="s">
        <v>6214</v>
      </c>
    </row>
    <row r="74" spans="1:3" x14ac:dyDescent="0.25">
      <c r="A74" s="3"/>
      <c r="B74" s="2"/>
      <c r="C74" s="2"/>
    </row>
  </sheetData>
  <mergeCells count="2">
    <mergeCell ref="A1:D1"/>
    <mergeCell ref="A8:C8"/>
  </mergeCells>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798"/>
  <sheetViews>
    <sheetView workbookViewId="0">
      <pane ySplit="1" topLeftCell="A986" activePane="bottomLeft" state="frozen"/>
      <selection pane="bottomLeft" activeCell="A1020" sqref="A1020:G1020"/>
    </sheetView>
  </sheetViews>
  <sheetFormatPr defaultRowHeight="15" x14ac:dyDescent="0.25"/>
  <cols>
    <col min="1" max="1" width="15.7109375" customWidth="1"/>
    <col min="2" max="2" width="50.7109375" customWidth="1"/>
    <col min="3" max="4" width="11.7109375" customWidth="1"/>
    <col min="5" max="5" width="10.7109375" customWidth="1"/>
    <col min="6" max="6" width="11.7109375" customWidth="1"/>
    <col min="7" max="7" width="10.7109375" customWidth="1"/>
  </cols>
  <sheetData>
    <row r="1" spans="1:7" x14ac:dyDescent="0.25">
      <c r="A1" s="1" t="s">
        <v>976</v>
      </c>
      <c r="B1" s="1" t="s">
        <v>1</v>
      </c>
      <c r="C1" s="1" t="s">
        <v>6288</v>
      </c>
      <c r="D1" s="1" t="s">
        <v>6289</v>
      </c>
      <c r="E1" s="1" t="s">
        <v>6290</v>
      </c>
      <c r="F1" s="1" t="s">
        <v>6291</v>
      </c>
      <c r="G1" s="1" t="s">
        <v>6292</v>
      </c>
    </row>
    <row r="2" spans="1:7" x14ac:dyDescent="0.25">
      <c r="A2" s="3355" t="s">
        <v>1040</v>
      </c>
      <c r="B2" s="3354"/>
      <c r="C2" s="3354"/>
      <c r="D2" s="3354"/>
      <c r="E2" s="3354"/>
      <c r="F2" s="3354"/>
      <c r="G2" s="3354"/>
    </row>
    <row r="3" spans="1:7" x14ac:dyDescent="0.25">
      <c r="A3" s="3353" t="s">
        <v>273</v>
      </c>
      <c r="B3" s="3354"/>
      <c r="C3" s="3354"/>
      <c r="D3" s="3354"/>
      <c r="E3" s="3354"/>
      <c r="F3" s="3354"/>
      <c r="G3" s="3354"/>
    </row>
    <row r="4" spans="1:7" x14ac:dyDescent="0.25">
      <c r="A4" s="11" t="s">
        <v>6293</v>
      </c>
      <c r="B4" s="11" t="s">
        <v>6294</v>
      </c>
      <c r="C4" s="12">
        <v>2391</v>
      </c>
      <c r="D4" s="12">
        <v>2463008</v>
      </c>
      <c r="E4" s="13">
        <v>1.6154007995379901E-8</v>
      </c>
      <c r="F4" s="14">
        <v>100</v>
      </c>
      <c r="G4" s="15">
        <v>1.01233138679652E-13</v>
      </c>
    </row>
    <row r="5" spans="1:7" x14ac:dyDescent="0.25">
      <c r="A5" s="6" t="s">
        <v>6293</v>
      </c>
      <c r="B5" s="6" t="s">
        <v>6295</v>
      </c>
      <c r="C5" s="7">
        <v>2391</v>
      </c>
      <c r="D5" s="7">
        <v>2463008</v>
      </c>
      <c r="E5" s="8">
        <v>0</v>
      </c>
      <c r="F5" s="9">
        <v>100</v>
      </c>
      <c r="G5" s="10">
        <v>0</v>
      </c>
    </row>
    <row r="6" spans="1:7" x14ac:dyDescent="0.25">
      <c r="A6" s="3353" t="s">
        <v>645</v>
      </c>
      <c r="B6" s="3354"/>
      <c r="C6" s="3354"/>
      <c r="D6" s="3354"/>
      <c r="E6" s="3354"/>
      <c r="F6" s="3354"/>
      <c r="G6" s="3354"/>
    </row>
    <row r="7" spans="1:7" x14ac:dyDescent="0.25">
      <c r="A7" s="11" t="s">
        <v>6293</v>
      </c>
      <c r="B7" s="11" t="s">
        <v>6294</v>
      </c>
      <c r="C7" s="20">
        <v>2391</v>
      </c>
      <c r="D7" s="20">
        <v>2463008</v>
      </c>
      <c r="E7" s="21">
        <v>1.61597598232265E-8</v>
      </c>
      <c r="F7" s="22">
        <v>100</v>
      </c>
      <c r="G7" s="23">
        <v>1.01753620972552E-13</v>
      </c>
    </row>
    <row r="8" spans="1:7" x14ac:dyDescent="0.25">
      <c r="A8" s="6" t="s">
        <v>6293</v>
      </c>
      <c r="B8" s="6" t="s">
        <v>6295</v>
      </c>
      <c r="C8" s="16">
        <v>2391</v>
      </c>
      <c r="D8" s="16">
        <v>2463008</v>
      </c>
      <c r="E8" s="17">
        <v>0</v>
      </c>
      <c r="F8" s="18">
        <v>100</v>
      </c>
      <c r="G8" s="19">
        <v>0</v>
      </c>
    </row>
    <row r="9" spans="1:7" x14ac:dyDescent="0.25">
      <c r="A9" s="3353" t="s">
        <v>146</v>
      </c>
      <c r="B9" s="3354"/>
      <c r="C9" s="3354"/>
      <c r="D9" s="3354"/>
      <c r="E9" s="3354"/>
      <c r="F9" s="3354"/>
      <c r="G9" s="3354"/>
    </row>
    <row r="10" spans="1:7" x14ac:dyDescent="0.25">
      <c r="A10" s="11" t="s">
        <v>6296</v>
      </c>
      <c r="B10" s="11"/>
      <c r="C10" s="28">
        <v>1146</v>
      </c>
      <c r="D10" s="28">
        <v>966841.09678474604</v>
      </c>
      <c r="E10" s="29">
        <v>56193.992443363597</v>
      </c>
      <c r="F10" s="30">
        <v>39.254484629556501</v>
      </c>
      <c r="G10" s="31">
        <v>2.2815188762425298</v>
      </c>
    </row>
    <row r="11" spans="1:7" x14ac:dyDescent="0.25">
      <c r="A11" s="6" t="s">
        <v>6297</v>
      </c>
      <c r="B11" s="6"/>
      <c r="C11" s="24">
        <v>497</v>
      </c>
      <c r="D11" s="24">
        <v>334647.53211993701</v>
      </c>
      <c r="E11" s="25">
        <v>30205.6296819198</v>
      </c>
      <c r="F11" s="26">
        <v>13.586944586454299</v>
      </c>
      <c r="G11" s="27">
        <v>1.22637156200547</v>
      </c>
    </row>
    <row r="12" spans="1:7" x14ac:dyDescent="0.25">
      <c r="A12" s="11" t="s">
        <v>6298</v>
      </c>
      <c r="B12" s="11"/>
      <c r="C12" s="28">
        <v>365</v>
      </c>
      <c r="D12" s="28">
        <v>264194.851199136</v>
      </c>
      <c r="E12" s="29">
        <v>24918.371658996799</v>
      </c>
      <c r="F12" s="30">
        <v>10.7265121022399</v>
      </c>
      <c r="G12" s="31">
        <v>1.01170486084482</v>
      </c>
    </row>
    <row r="13" spans="1:7" x14ac:dyDescent="0.25">
      <c r="A13" s="6" t="s">
        <v>6299</v>
      </c>
      <c r="B13" s="6"/>
      <c r="C13" s="24">
        <v>231</v>
      </c>
      <c r="D13" s="24">
        <v>213291.094263048</v>
      </c>
      <c r="E13" s="25">
        <v>25484.108624805998</v>
      </c>
      <c r="F13" s="26">
        <v>8.6597808152896008</v>
      </c>
      <c r="G13" s="27">
        <v>1.03467421237795</v>
      </c>
    </row>
    <row r="14" spans="1:7" x14ac:dyDescent="0.25">
      <c r="A14" s="11" t="s">
        <v>6300</v>
      </c>
      <c r="B14" s="11"/>
      <c r="C14" s="28">
        <v>256</v>
      </c>
      <c r="D14" s="28">
        <v>205538.65513265401</v>
      </c>
      <c r="E14" s="29">
        <v>18038.7255682881</v>
      </c>
      <c r="F14" s="30">
        <v>8.34502588431112</v>
      </c>
      <c r="G14" s="31">
        <v>0.73238599177461505</v>
      </c>
    </row>
    <row r="15" spans="1:7" x14ac:dyDescent="0.25">
      <c r="A15" s="6" t="s">
        <v>6301</v>
      </c>
      <c r="B15" s="6"/>
      <c r="C15" s="24">
        <v>135</v>
      </c>
      <c r="D15" s="24">
        <v>121642.11915086</v>
      </c>
      <c r="E15" s="25">
        <v>16464.4997603714</v>
      </c>
      <c r="F15" s="26">
        <v>4.9387626492020997</v>
      </c>
      <c r="G15" s="27">
        <v>0.66847122544349402</v>
      </c>
    </row>
    <row r="16" spans="1:7" x14ac:dyDescent="0.25">
      <c r="A16" s="11" t="s">
        <v>6302</v>
      </c>
      <c r="B16" s="11"/>
      <c r="C16" s="28">
        <v>116</v>
      </c>
      <c r="D16" s="28">
        <v>113970.81267461499</v>
      </c>
      <c r="E16" s="29">
        <v>17508.317696917798</v>
      </c>
      <c r="F16" s="30">
        <v>4.6273017657520796</v>
      </c>
      <c r="G16" s="31">
        <v>0.71085102837334901</v>
      </c>
    </row>
    <row r="17" spans="1:7" x14ac:dyDescent="0.25">
      <c r="A17" s="6" t="s">
        <v>1017</v>
      </c>
      <c r="B17" s="6"/>
      <c r="C17" s="24">
        <v>34</v>
      </c>
      <c r="D17" s="24">
        <v>44952.1589441424</v>
      </c>
      <c r="E17" s="25">
        <v>12834.3284744395</v>
      </c>
      <c r="F17" s="26">
        <v>1.8250918772550699</v>
      </c>
      <c r="G17" s="27">
        <v>0.52108350742017295</v>
      </c>
    </row>
    <row r="18" spans="1:7" x14ac:dyDescent="0.25">
      <c r="A18" s="11" t="s">
        <v>6303</v>
      </c>
      <c r="B18" s="11"/>
      <c r="C18" s="28">
        <v>39</v>
      </c>
      <c r="D18" s="28">
        <v>40791.512373623802</v>
      </c>
      <c r="E18" s="29">
        <v>9412.2048252980203</v>
      </c>
      <c r="F18" s="30">
        <v>1.65616645880256</v>
      </c>
      <c r="G18" s="31">
        <v>0.382142681846669</v>
      </c>
    </row>
    <row r="19" spans="1:7" x14ac:dyDescent="0.25">
      <c r="A19" s="6" t="s">
        <v>6304</v>
      </c>
      <c r="B19" s="6"/>
      <c r="C19" s="24">
        <v>26</v>
      </c>
      <c r="D19" s="24">
        <v>29627.495440951399</v>
      </c>
      <c r="E19" s="25">
        <v>9160.6162634634693</v>
      </c>
      <c r="F19" s="26">
        <v>1.2028988716622699</v>
      </c>
      <c r="G19" s="27">
        <v>0.37192799469037402</v>
      </c>
    </row>
    <row r="20" spans="1:7" x14ac:dyDescent="0.25">
      <c r="A20" s="11" t="s">
        <v>1023</v>
      </c>
      <c r="B20" s="11"/>
      <c r="C20" s="28">
        <v>11</v>
      </c>
      <c r="D20" s="28">
        <v>18236.509634772199</v>
      </c>
      <c r="E20" s="29">
        <v>6249.6333121769603</v>
      </c>
      <c r="F20" s="30">
        <v>0.74041617545587401</v>
      </c>
      <c r="G20" s="31">
        <v>0.25373987060443898</v>
      </c>
    </row>
    <row r="21" spans="1:7" x14ac:dyDescent="0.25">
      <c r="A21" s="6" t="s">
        <v>1019</v>
      </c>
      <c r="B21" s="6"/>
      <c r="C21" s="24">
        <v>28</v>
      </c>
      <c r="D21" s="24">
        <v>14824.327752441601</v>
      </c>
      <c r="E21" s="25">
        <v>4829.4894252494496</v>
      </c>
      <c r="F21" s="26">
        <v>0.60187899318400895</v>
      </c>
      <c r="G21" s="27">
        <v>0.19608094757505601</v>
      </c>
    </row>
    <row r="22" spans="1:7" x14ac:dyDescent="0.25">
      <c r="A22" s="11" t="s">
        <v>1021</v>
      </c>
      <c r="B22" s="11"/>
      <c r="C22" s="28">
        <v>12</v>
      </c>
      <c r="D22" s="28">
        <v>12280.2750277122</v>
      </c>
      <c r="E22" s="29">
        <v>8058.5884546013303</v>
      </c>
      <c r="F22" s="30">
        <v>0.498588515656961</v>
      </c>
      <c r="G22" s="31">
        <v>0.32718482662668302</v>
      </c>
    </row>
    <row r="23" spans="1:7" x14ac:dyDescent="0.25">
      <c r="A23" s="6" t="s">
        <v>1033</v>
      </c>
      <c r="B23" s="6"/>
      <c r="C23" s="24">
        <v>3</v>
      </c>
      <c r="D23" s="24">
        <v>8430.92978915188</v>
      </c>
      <c r="E23" s="25">
        <v>7638.2223100875899</v>
      </c>
      <c r="F23" s="26">
        <v>0.34230216828982601</v>
      </c>
      <c r="G23" s="27">
        <v>0.310117641115562</v>
      </c>
    </row>
    <row r="24" spans="1:7" x14ac:dyDescent="0.25">
      <c r="A24" s="11" t="s">
        <v>1025</v>
      </c>
      <c r="B24" s="11"/>
      <c r="C24" s="28">
        <v>9</v>
      </c>
      <c r="D24" s="28">
        <v>7899.5024401936698</v>
      </c>
      <c r="E24" s="29">
        <v>4401.7140706030495</v>
      </c>
      <c r="F24" s="30">
        <v>0.32072581332231398</v>
      </c>
      <c r="G24" s="31">
        <v>0.17871294249158101</v>
      </c>
    </row>
    <row r="25" spans="1:7" x14ac:dyDescent="0.25">
      <c r="A25" s="6" t="s">
        <v>3056</v>
      </c>
      <c r="B25" s="6"/>
      <c r="C25" s="24">
        <v>3</v>
      </c>
      <c r="D25" s="24">
        <v>7749.9764304668097</v>
      </c>
      <c r="E25" s="25">
        <v>6700.90617951273</v>
      </c>
      <c r="F25" s="26">
        <v>0.31465494348645301</v>
      </c>
      <c r="G25" s="27">
        <v>0.27206189259282698</v>
      </c>
    </row>
    <row r="26" spans="1:7" x14ac:dyDescent="0.25">
      <c r="A26" s="11" t="s">
        <v>3058</v>
      </c>
      <c r="B26" s="11"/>
      <c r="C26" s="28">
        <v>2</v>
      </c>
      <c r="D26" s="28">
        <v>7514.4401296023598</v>
      </c>
      <c r="E26" s="29">
        <v>7481.3645029443296</v>
      </c>
      <c r="F26" s="30">
        <v>0.30509199034685902</v>
      </c>
      <c r="G26" s="31">
        <v>0.30374909472256401</v>
      </c>
    </row>
    <row r="27" spans="1:7" x14ac:dyDescent="0.25">
      <c r="A27" s="6" t="s">
        <v>3089</v>
      </c>
      <c r="B27" s="6"/>
      <c r="C27" s="24">
        <v>1</v>
      </c>
      <c r="D27" s="24">
        <v>7311.4538471878304</v>
      </c>
      <c r="E27" s="25">
        <v>7560.8301875976103</v>
      </c>
      <c r="F27" s="26">
        <v>0.29685059273814102</v>
      </c>
      <c r="G27" s="27">
        <v>0.30697546202032699</v>
      </c>
    </row>
    <row r="28" spans="1:7" x14ac:dyDescent="0.25">
      <c r="A28" s="11" t="s">
        <v>1125</v>
      </c>
      <c r="B28" s="11"/>
      <c r="C28" s="28">
        <v>2</v>
      </c>
      <c r="D28" s="28">
        <v>5864.1497998671603</v>
      </c>
      <c r="E28" s="29">
        <v>5661.8894282856099</v>
      </c>
      <c r="F28" s="30">
        <v>0.23808894651853199</v>
      </c>
      <c r="G28" s="31">
        <v>0.22987702144230199</v>
      </c>
    </row>
    <row r="29" spans="1:7" x14ac:dyDescent="0.25">
      <c r="A29" s="6" t="s">
        <v>6305</v>
      </c>
      <c r="B29" s="6"/>
      <c r="C29" s="24">
        <v>1</v>
      </c>
      <c r="D29" s="24">
        <v>5362.90131493229</v>
      </c>
      <c r="E29" s="25">
        <v>5464.5567276116599</v>
      </c>
      <c r="F29" s="26">
        <v>0.217737876406909</v>
      </c>
      <c r="G29" s="27">
        <v>0.22186516355658101</v>
      </c>
    </row>
    <row r="30" spans="1:7" x14ac:dyDescent="0.25">
      <c r="A30" s="11" t="s">
        <v>1177</v>
      </c>
      <c r="B30" s="11"/>
      <c r="C30" s="28">
        <v>4</v>
      </c>
      <c r="D30" s="28">
        <v>3741.78084238362</v>
      </c>
      <c r="E30" s="29">
        <v>2705.6548522059302</v>
      </c>
      <c r="F30" s="30">
        <v>0.15191915098869399</v>
      </c>
      <c r="G30" s="31">
        <v>0.109851646937644</v>
      </c>
    </row>
    <row r="31" spans="1:7" x14ac:dyDescent="0.25">
      <c r="A31" s="6" t="s">
        <v>3060</v>
      </c>
      <c r="B31" s="6"/>
      <c r="C31" s="24">
        <v>3</v>
      </c>
      <c r="D31" s="24">
        <v>3563.1220760787901</v>
      </c>
      <c r="E31" s="25">
        <v>3225.2910417498701</v>
      </c>
      <c r="F31" s="26">
        <v>0.14466546905567501</v>
      </c>
      <c r="G31" s="27">
        <v>0.130949271855791</v>
      </c>
    </row>
    <row r="32" spans="1:7" x14ac:dyDescent="0.25">
      <c r="A32" s="11" t="s">
        <v>1027</v>
      </c>
      <c r="B32" s="11"/>
      <c r="C32" s="28">
        <v>6</v>
      </c>
      <c r="D32" s="28">
        <v>3304.8568945689399</v>
      </c>
      <c r="E32" s="29">
        <v>2929.1782713740699</v>
      </c>
      <c r="F32" s="30">
        <v>0.134179706057347</v>
      </c>
      <c r="G32" s="31">
        <v>0.118926867934415</v>
      </c>
    </row>
    <row r="33" spans="1:7" x14ac:dyDescent="0.25">
      <c r="A33" s="6" t="s">
        <v>1029</v>
      </c>
      <c r="B33" s="6"/>
      <c r="C33" s="24">
        <v>5</v>
      </c>
      <c r="D33" s="24">
        <v>3230.7454834158998</v>
      </c>
      <c r="E33" s="25">
        <v>1958.6982458336099</v>
      </c>
      <c r="F33" s="26">
        <v>0.13117072634014601</v>
      </c>
      <c r="G33" s="27">
        <v>7.9524640026894494E-2</v>
      </c>
    </row>
    <row r="34" spans="1:7" x14ac:dyDescent="0.25">
      <c r="A34" s="11" t="s">
        <v>1069</v>
      </c>
      <c r="B34" s="11"/>
      <c r="C34" s="28">
        <v>3</v>
      </c>
      <c r="D34" s="28">
        <v>2454.34661854049</v>
      </c>
      <c r="E34" s="29">
        <v>2243.9753104835199</v>
      </c>
      <c r="F34" s="30">
        <v>9.9648341318440206E-2</v>
      </c>
      <c r="G34" s="31">
        <v>9.1107106046083297E-2</v>
      </c>
    </row>
    <row r="35" spans="1:7" x14ac:dyDescent="0.25">
      <c r="A35" s="6" t="s">
        <v>1035</v>
      </c>
      <c r="B35" s="6"/>
      <c r="C35" s="24">
        <v>3</v>
      </c>
      <c r="D35" s="24">
        <v>2280.9805902016001</v>
      </c>
      <c r="E35" s="25">
        <v>2308.2431478516501</v>
      </c>
      <c r="F35" s="26">
        <v>9.2609548576439799E-2</v>
      </c>
      <c r="G35" s="27">
        <v>9.3716429173256802E-2</v>
      </c>
    </row>
    <row r="36" spans="1:7" x14ac:dyDescent="0.25">
      <c r="A36" s="11" t="s">
        <v>3212</v>
      </c>
      <c r="B36" s="11"/>
      <c r="C36" s="28">
        <v>2</v>
      </c>
      <c r="D36" s="28">
        <v>2006.5548628834899</v>
      </c>
      <c r="E36" s="29">
        <v>2014.5358423523301</v>
      </c>
      <c r="F36" s="30">
        <v>8.1467655114538406E-2</v>
      </c>
      <c r="G36" s="31">
        <v>8.1791688957255998E-2</v>
      </c>
    </row>
    <row r="37" spans="1:7" x14ac:dyDescent="0.25">
      <c r="A37" s="6" t="s">
        <v>3077</v>
      </c>
      <c r="B37" s="6"/>
      <c r="C37" s="24">
        <v>1</v>
      </c>
      <c r="D37" s="24">
        <v>1968.35188828483</v>
      </c>
      <c r="E37" s="25">
        <v>1990.4864212851901</v>
      </c>
      <c r="F37" s="26">
        <v>7.9916585260170897E-2</v>
      </c>
      <c r="G37" s="27">
        <v>8.0815264152011998E-2</v>
      </c>
    </row>
    <row r="38" spans="1:7" x14ac:dyDescent="0.25">
      <c r="A38" s="11" t="s">
        <v>3069</v>
      </c>
      <c r="B38" s="11"/>
      <c r="C38" s="28">
        <v>2</v>
      </c>
      <c r="D38" s="28">
        <v>1873.6669294528699</v>
      </c>
      <c r="E38" s="29">
        <v>1747.8422208658301</v>
      </c>
      <c r="F38" s="30">
        <v>7.6072303843627995E-2</v>
      </c>
      <c r="G38" s="31">
        <v>7.0963724878921497E-2</v>
      </c>
    </row>
    <row r="39" spans="1:7" x14ac:dyDescent="0.25">
      <c r="A39" s="6" t="s">
        <v>1079</v>
      </c>
      <c r="B39" s="6"/>
      <c r="C39" s="24">
        <v>3</v>
      </c>
      <c r="D39" s="24">
        <v>1254.0102840480599</v>
      </c>
      <c r="E39" s="25">
        <v>1118.6580973421901</v>
      </c>
      <c r="F39" s="26">
        <v>5.0913772267408702E-2</v>
      </c>
      <c r="G39" s="27">
        <v>4.5418370437375399E-2</v>
      </c>
    </row>
    <row r="40" spans="1:7" x14ac:dyDescent="0.25">
      <c r="A40" s="11" t="s">
        <v>1109</v>
      </c>
      <c r="B40" s="11"/>
      <c r="C40" s="28">
        <v>1</v>
      </c>
      <c r="D40" s="28">
        <v>1106.2335512550601</v>
      </c>
      <c r="E40" s="29">
        <v>1116.89023275402</v>
      </c>
      <c r="F40" s="30">
        <v>4.4913924406865903E-2</v>
      </c>
      <c r="G40" s="31">
        <v>4.5346593789140001E-2</v>
      </c>
    </row>
    <row r="41" spans="1:7" x14ac:dyDescent="0.25">
      <c r="A41" s="6" t="s">
        <v>1031</v>
      </c>
      <c r="B41" s="6"/>
      <c r="C41" s="24">
        <v>4</v>
      </c>
      <c r="D41" s="24">
        <v>876.62641813348898</v>
      </c>
      <c r="E41" s="25">
        <v>682.75287794600899</v>
      </c>
      <c r="F41" s="26">
        <v>3.55916999917779E-2</v>
      </c>
      <c r="G41" s="27">
        <v>2.7720286655423299E-2</v>
      </c>
    </row>
    <row r="42" spans="1:7" x14ac:dyDescent="0.25">
      <c r="A42" s="11" t="s">
        <v>1073</v>
      </c>
      <c r="B42" s="11"/>
      <c r="C42" s="28">
        <v>3</v>
      </c>
      <c r="D42" s="28">
        <v>798.31187450700099</v>
      </c>
      <c r="E42" s="29">
        <v>618.07998457296105</v>
      </c>
      <c r="F42" s="30">
        <v>3.2412069896118903E-2</v>
      </c>
      <c r="G42" s="31">
        <v>2.5094517946062801E-2</v>
      </c>
    </row>
    <row r="43" spans="1:7" x14ac:dyDescent="0.25">
      <c r="A43" s="6" t="s">
        <v>1179</v>
      </c>
      <c r="B43" s="6"/>
      <c r="C43" s="24">
        <v>2</v>
      </c>
      <c r="D43" s="24">
        <v>772.45729907819896</v>
      </c>
      <c r="E43" s="25">
        <v>723.99840601025096</v>
      </c>
      <c r="F43" s="26">
        <v>3.1362354449445497E-2</v>
      </c>
      <c r="G43" s="27">
        <v>2.93948864969278E-2</v>
      </c>
    </row>
    <row r="44" spans="1:7" x14ac:dyDescent="0.25">
      <c r="A44" s="11" t="s">
        <v>1101</v>
      </c>
      <c r="B44" s="11"/>
      <c r="C44" s="28">
        <v>1</v>
      </c>
      <c r="D44" s="28">
        <v>574.81160083370298</v>
      </c>
      <c r="E44" s="29">
        <v>582.495886370417</v>
      </c>
      <c r="F44" s="30">
        <v>2.33377886240606E-2</v>
      </c>
      <c r="G44" s="31">
        <v>2.36497764672472E-2</v>
      </c>
    </row>
    <row r="45" spans="1:7" x14ac:dyDescent="0.25">
      <c r="A45" s="6" t="s">
        <v>1087</v>
      </c>
      <c r="B45" s="6"/>
      <c r="C45" s="24">
        <v>1</v>
      </c>
      <c r="D45" s="24">
        <v>466.88553244521199</v>
      </c>
      <c r="E45" s="25">
        <v>485.59159996397301</v>
      </c>
      <c r="F45" s="26">
        <v>1.8955908078463899E-2</v>
      </c>
      <c r="G45" s="27">
        <v>1.97153886615055E-2</v>
      </c>
    </row>
    <row r="46" spans="1:7" x14ac:dyDescent="0.25">
      <c r="A46" s="11" t="s">
        <v>3071</v>
      </c>
      <c r="B46" s="11"/>
      <c r="C46" s="28">
        <v>1</v>
      </c>
      <c r="D46" s="28">
        <v>289.796124735577</v>
      </c>
      <c r="E46" s="29">
        <v>299.24689596414601</v>
      </c>
      <c r="F46" s="30">
        <v>1.17659432992332E-2</v>
      </c>
      <c r="G46" s="31">
        <v>1.2149651806415E-2</v>
      </c>
    </row>
    <row r="47" spans="1:7" x14ac:dyDescent="0.25">
      <c r="A47" s="6" t="s">
        <v>1075</v>
      </c>
      <c r="B47" s="6"/>
      <c r="C47" s="24">
        <v>1</v>
      </c>
      <c r="D47" s="24">
        <v>199.040852005044</v>
      </c>
      <c r="E47" s="25">
        <v>200.66861839613401</v>
      </c>
      <c r="F47" s="26">
        <v>8.0812101302571507E-3</v>
      </c>
      <c r="G47" s="27">
        <v>8.1472986850279795E-3</v>
      </c>
    </row>
    <row r="48" spans="1:7" x14ac:dyDescent="0.25">
      <c r="A48" s="11" t="s">
        <v>3073</v>
      </c>
      <c r="B48" s="11"/>
      <c r="C48" s="28">
        <v>2</v>
      </c>
      <c r="D48" s="28">
        <v>193.93111769453799</v>
      </c>
      <c r="E48" s="29">
        <v>194.35555850809399</v>
      </c>
      <c r="F48" s="30">
        <v>7.8737510269775001E-3</v>
      </c>
      <c r="G48" s="31">
        <v>7.8909836471539804E-3</v>
      </c>
    </row>
    <row r="49" spans="1:7" x14ac:dyDescent="0.25">
      <c r="A49" s="6" t="s">
        <v>1191</v>
      </c>
      <c r="B49" s="6"/>
      <c r="C49" s="24">
        <v>1</v>
      </c>
      <c r="D49" s="24">
        <v>189.295407854834</v>
      </c>
      <c r="E49" s="25">
        <v>189.87969076939899</v>
      </c>
      <c r="F49" s="26">
        <v>7.6855376781088001E-3</v>
      </c>
      <c r="G49" s="27">
        <v>7.7092600092812796E-3</v>
      </c>
    </row>
    <row r="50" spans="1:7" x14ac:dyDescent="0.25">
      <c r="A50" s="11" t="s">
        <v>1077</v>
      </c>
      <c r="B50" s="11"/>
      <c r="C50" s="28">
        <v>3</v>
      </c>
      <c r="D50" s="28">
        <v>178.14247963177701</v>
      </c>
      <c r="E50" s="29">
        <v>178.834476859467</v>
      </c>
      <c r="F50" s="30">
        <v>7.2327203010212398E-3</v>
      </c>
      <c r="G50" s="31">
        <v>7.2608159153144097E-3</v>
      </c>
    </row>
    <row r="51" spans="1:7" x14ac:dyDescent="0.25">
      <c r="A51" s="6" t="s">
        <v>1081</v>
      </c>
      <c r="B51" s="6"/>
      <c r="C51" s="24">
        <v>2</v>
      </c>
      <c r="D51" s="24">
        <v>138.67248164551299</v>
      </c>
      <c r="E51" s="25">
        <v>102.560183897204</v>
      </c>
      <c r="F51" s="26">
        <v>5.6302083324744796E-3</v>
      </c>
      <c r="G51" s="27">
        <v>4.1640215499585903E-3</v>
      </c>
    </row>
    <row r="52" spans="1:7" x14ac:dyDescent="0.25">
      <c r="A52" s="11" t="s">
        <v>1117</v>
      </c>
      <c r="B52" s="11"/>
      <c r="C52" s="28">
        <v>1</v>
      </c>
      <c r="D52" s="28">
        <v>99.353438115567897</v>
      </c>
      <c r="E52" s="29">
        <v>104.132894195557</v>
      </c>
      <c r="F52" s="30">
        <v>4.0338252297827696E-3</v>
      </c>
      <c r="G52" s="31">
        <v>4.2278747854475798E-3</v>
      </c>
    </row>
    <row r="53" spans="1:7" x14ac:dyDescent="0.25">
      <c r="A53" s="6" t="s">
        <v>1185</v>
      </c>
      <c r="B53" s="6"/>
      <c r="C53" s="24">
        <v>1</v>
      </c>
      <c r="D53" s="24">
        <v>95.493554125034805</v>
      </c>
      <c r="E53" s="25">
        <v>99.550612056223002</v>
      </c>
      <c r="F53" s="26">
        <v>3.8771110010619001E-3</v>
      </c>
      <c r="G53" s="27">
        <v>4.0418306418908501E-3</v>
      </c>
    </row>
    <row r="54" spans="1:7" x14ac:dyDescent="0.25">
      <c r="A54" s="11" t="s">
        <v>3222</v>
      </c>
      <c r="B54" s="11"/>
      <c r="C54" s="28">
        <v>1</v>
      </c>
      <c r="D54" s="28">
        <v>81.474716362918898</v>
      </c>
      <c r="E54" s="29">
        <v>87.922247907587007</v>
      </c>
      <c r="F54" s="30">
        <v>3.3079355147412801E-3</v>
      </c>
      <c r="G54" s="31">
        <v>3.5697102042537799E-3</v>
      </c>
    </row>
    <row r="55" spans="1:7" x14ac:dyDescent="0.25">
      <c r="A55" s="6" t="s">
        <v>6306</v>
      </c>
      <c r="B55" s="6"/>
      <c r="C55" s="24">
        <v>1</v>
      </c>
      <c r="D55" s="24">
        <v>74.195111846592994</v>
      </c>
      <c r="E55" s="25">
        <v>73.884243801485695</v>
      </c>
      <c r="F55" s="26">
        <v>3.0123780290844801E-3</v>
      </c>
      <c r="G55" s="27">
        <v>2.99975654977514E-3</v>
      </c>
    </row>
    <row r="56" spans="1:7" x14ac:dyDescent="0.25">
      <c r="A56" s="11" t="s">
        <v>3075</v>
      </c>
      <c r="B56" s="11"/>
      <c r="C56" s="28">
        <v>1</v>
      </c>
      <c r="D56" s="28">
        <v>54.969517334914599</v>
      </c>
      <c r="E56" s="29">
        <v>56.087607078211398</v>
      </c>
      <c r="F56" s="30">
        <v>2.23180425459091E-3</v>
      </c>
      <c r="G56" s="31">
        <v>2.2771995494213302E-3</v>
      </c>
    </row>
    <row r="57" spans="1:7" x14ac:dyDescent="0.25">
      <c r="A57" s="6" t="s">
        <v>3091</v>
      </c>
      <c r="B57" s="6"/>
      <c r="C57" s="24">
        <v>1</v>
      </c>
      <c r="D57" s="24">
        <v>53.0457402694813</v>
      </c>
      <c r="E57" s="25">
        <v>53.899957185544302</v>
      </c>
      <c r="F57" s="26">
        <v>2.1536974410753598E-3</v>
      </c>
      <c r="G57" s="27">
        <v>2.1883792982216998E-3</v>
      </c>
    </row>
    <row r="58" spans="1:7" x14ac:dyDescent="0.25">
      <c r="A58" s="11" t="s">
        <v>3208</v>
      </c>
      <c r="B58" s="11"/>
      <c r="C58" s="28">
        <v>1</v>
      </c>
      <c r="D58" s="28">
        <v>41.392889554295202</v>
      </c>
      <c r="E58" s="29">
        <v>41.666491044323003</v>
      </c>
      <c r="F58" s="30">
        <v>1.6805828301936199E-3</v>
      </c>
      <c r="G58" s="31">
        <v>1.691691258994E-3</v>
      </c>
    </row>
    <row r="59" spans="1:7" x14ac:dyDescent="0.25">
      <c r="A59" s="6" t="s">
        <v>3105</v>
      </c>
      <c r="B59" s="6"/>
      <c r="C59" s="24">
        <v>1</v>
      </c>
      <c r="D59" s="24">
        <v>36.832552063029503</v>
      </c>
      <c r="E59" s="25">
        <v>38.417908222191301</v>
      </c>
      <c r="F59" s="26">
        <v>1.4954296560559101E-3</v>
      </c>
      <c r="G59" s="27">
        <v>1.55979632312162E-3</v>
      </c>
    </row>
    <row r="60" spans="1:7" x14ac:dyDescent="0.25">
      <c r="A60" s="11" t="s">
        <v>1119</v>
      </c>
      <c r="B60" s="11"/>
      <c r="C60" s="28">
        <v>1</v>
      </c>
      <c r="D60" s="28">
        <v>36.827020608969299</v>
      </c>
      <c r="E60" s="29">
        <v>36.374360946948499</v>
      </c>
      <c r="F60" s="30">
        <v>1.4952050748097199E-3</v>
      </c>
      <c r="G60" s="31">
        <v>1.47682674790129E-3</v>
      </c>
    </row>
    <row r="61" spans="1:7" x14ac:dyDescent="0.25">
      <c r="A61" s="6" t="s">
        <v>6293</v>
      </c>
      <c r="B61" s="6" t="s">
        <v>6294</v>
      </c>
      <c r="C61" s="24">
        <v>2980</v>
      </c>
      <c r="D61" s="24">
        <v>2463008</v>
      </c>
      <c r="E61" s="25">
        <v>1.2132752277146501E-8</v>
      </c>
      <c r="F61" s="26">
        <v>100</v>
      </c>
      <c r="G61" s="27">
        <v>9.4764635797477106E-14</v>
      </c>
    </row>
    <row r="62" spans="1:7" x14ac:dyDescent="0.25">
      <c r="A62" s="11" t="s">
        <v>6293</v>
      </c>
      <c r="B62" s="11" t="s">
        <v>6295</v>
      </c>
      <c r="C62" s="28">
        <v>2980</v>
      </c>
      <c r="D62" s="28">
        <v>2463008</v>
      </c>
      <c r="E62" s="29">
        <v>0</v>
      </c>
      <c r="F62" s="30">
        <v>100</v>
      </c>
      <c r="G62" s="31">
        <v>0</v>
      </c>
    </row>
    <row r="63" spans="1:7" x14ac:dyDescent="0.25">
      <c r="A63" s="3353" t="s">
        <v>717</v>
      </c>
      <c r="B63" s="3354"/>
      <c r="C63" s="3354"/>
      <c r="D63" s="3354"/>
      <c r="E63" s="3354"/>
      <c r="F63" s="3354"/>
      <c r="G63" s="3354"/>
    </row>
    <row r="64" spans="1:7" x14ac:dyDescent="0.25">
      <c r="A64" s="11" t="s">
        <v>994</v>
      </c>
      <c r="B64" s="11" t="s">
        <v>6094</v>
      </c>
      <c r="C64" s="36">
        <v>528</v>
      </c>
      <c r="D64" s="36">
        <v>506193.04097061697</v>
      </c>
      <c r="E64" s="37">
        <v>0.21903205618371799</v>
      </c>
      <c r="F64" s="38">
        <v>20.551822851189101</v>
      </c>
      <c r="G64" s="39">
        <v>8.8928680018733404E-6</v>
      </c>
    </row>
    <row r="65" spans="1:7" x14ac:dyDescent="0.25">
      <c r="A65" s="6" t="s">
        <v>988</v>
      </c>
      <c r="B65" s="6" t="s">
        <v>6091</v>
      </c>
      <c r="C65" s="32">
        <v>507</v>
      </c>
      <c r="D65" s="32">
        <v>506192.014696603</v>
      </c>
      <c r="E65" s="33">
        <v>7.7911960103313596E-2</v>
      </c>
      <c r="F65" s="34">
        <v>20.551781183682799</v>
      </c>
      <c r="G65" s="35">
        <v>3.1632846707698902E-6</v>
      </c>
    </row>
    <row r="66" spans="1:7" x14ac:dyDescent="0.25">
      <c r="A66" s="11" t="s">
        <v>990</v>
      </c>
      <c r="B66" s="11" t="s">
        <v>6092</v>
      </c>
      <c r="C66" s="36">
        <v>490</v>
      </c>
      <c r="D66" s="36">
        <v>506191.98607960099</v>
      </c>
      <c r="E66" s="37">
        <v>7.3726829347169107E-2</v>
      </c>
      <c r="F66" s="38">
        <v>20.551780021810799</v>
      </c>
      <c r="G66" s="39">
        <v>2.9933656351559502E-6</v>
      </c>
    </row>
    <row r="67" spans="1:7" x14ac:dyDescent="0.25">
      <c r="A67" s="6" t="s">
        <v>992</v>
      </c>
      <c r="B67" s="6" t="s">
        <v>6093</v>
      </c>
      <c r="C67" s="32">
        <v>479</v>
      </c>
      <c r="D67" s="32">
        <v>496484.96635535802</v>
      </c>
      <c r="E67" s="33">
        <v>0.180084440827185</v>
      </c>
      <c r="F67" s="34">
        <v>20.157667630610899</v>
      </c>
      <c r="G67" s="35">
        <v>7.3115656197667896E-6</v>
      </c>
    </row>
    <row r="68" spans="1:7" x14ac:dyDescent="0.25">
      <c r="A68" s="11" t="s">
        <v>986</v>
      </c>
      <c r="B68" s="11" t="s">
        <v>6090</v>
      </c>
      <c r="C68" s="36">
        <v>470</v>
      </c>
      <c r="D68" s="36">
        <v>447945.99189782201</v>
      </c>
      <c r="E68" s="37">
        <v>4.39987625341456E-2</v>
      </c>
      <c r="F68" s="38">
        <v>18.186948312706299</v>
      </c>
      <c r="G68" s="39">
        <v>1.7863834695018101E-6</v>
      </c>
    </row>
    <row r="69" spans="1:7" x14ac:dyDescent="0.25">
      <c r="A69" s="6" t="s">
        <v>6293</v>
      </c>
      <c r="B69" s="6" t="s">
        <v>6294</v>
      </c>
      <c r="C69" s="32">
        <v>2474</v>
      </c>
      <c r="D69" s="32">
        <v>2463008</v>
      </c>
      <c r="E69" s="33">
        <v>2.8532103769472999E-8</v>
      </c>
      <c r="F69" s="34">
        <v>100</v>
      </c>
      <c r="G69" s="35">
        <v>1.78031750616652E-14</v>
      </c>
    </row>
    <row r="70" spans="1:7" x14ac:dyDescent="0.25">
      <c r="A70" s="11" t="s">
        <v>6293</v>
      </c>
      <c r="B70" s="11" t="s">
        <v>6295</v>
      </c>
      <c r="C70" s="36">
        <v>2474</v>
      </c>
      <c r="D70" s="36">
        <v>2463008</v>
      </c>
      <c r="E70" s="37">
        <v>0</v>
      </c>
      <c r="F70" s="38">
        <v>100</v>
      </c>
      <c r="G70" s="39">
        <v>0</v>
      </c>
    </row>
    <row r="71" spans="1:7" x14ac:dyDescent="0.25">
      <c r="A71" s="3353" t="s">
        <v>660</v>
      </c>
      <c r="B71" s="3354"/>
      <c r="C71" s="3354"/>
      <c r="D71" s="3354"/>
      <c r="E71" s="3354"/>
      <c r="F71" s="3354"/>
      <c r="G71" s="3354"/>
    </row>
    <row r="72" spans="1:7" x14ac:dyDescent="0.25">
      <c r="A72" s="11" t="s">
        <v>6307</v>
      </c>
      <c r="B72" s="11"/>
      <c r="C72" s="44">
        <v>2987</v>
      </c>
      <c r="D72" s="44">
        <v>2463008</v>
      </c>
      <c r="E72" s="45">
        <v>4.30277076979038E-8</v>
      </c>
      <c r="F72" s="46">
        <v>100</v>
      </c>
      <c r="G72" s="47">
        <v>0</v>
      </c>
    </row>
    <row r="73" spans="1:7" x14ac:dyDescent="0.25">
      <c r="A73" s="6" t="s">
        <v>6293</v>
      </c>
      <c r="B73" s="6" t="s">
        <v>6294</v>
      </c>
      <c r="C73" s="40">
        <v>2987</v>
      </c>
      <c r="D73" s="40">
        <v>2463008</v>
      </c>
      <c r="E73" s="41">
        <v>4.30277076979038E-8</v>
      </c>
      <c r="F73" s="42">
        <v>100</v>
      </c>
      <c r="G73" s="43">
        <v>0</v>
      </c>
    </row>
    <row r="74" spans="1:7" x14ac:dyDescent="0.25">
      <c r="A74" s="11" t="s">
        <v>6293</v>
      </c>
      <c r="B74" s="11" t="s">
        <v>6295</v>
      </c>
      <c r="C74" s="44">
        <v>2987</v>
      </c>
      <c r="D74" s="44">
        <v>2463008</v>
      </c>
      <c r="E74" s="45">
        <v>0</v>
      </c>
      <c r="F74" s="46">
        <v>100</v>
      </c>
      <c r="G74" s="47">
        <v>0</v>
      </c>
    </row>
    <row r="75" spans="1:7" x14ac:dyDescent="0.25">
      <c r="A75" s="3353" t="s">
        <v>337</v>
      </c>
      <c r="B75" s="3354"/>
      <c r="C75" s="3354"/>
      <c r="D75" s="3354"/>
      <c r="E75" s="3354"/>
      <c r="F75" s="3354"/>
      <c r="G75" s="3354"/>
    </row>
    <row r="76" spans="1:7" x14ac:dyDescent="0.25">
      <c r="A76" s="11" t="s">
        <v>984</v>
      </c>
      <c r="B76" s="11" t="s">
        <v>3125</v>
      </c>
      <c r="C76" s="52">
        <v>2949</v>
      </c>
      <c r="D76" s="52">
        <v>2393227.5794319701</v>
      </c>
      <c r="E76" s="53">
        <v>20671.634423036601</v>
      </c>
      <c r="F76" s="54">
        <v>97.166861797930295</v>
      </c>
      <c r="G76" s="55">
        <v>0.83928409583066899</v>
      </c>
    </row>
    <row r="77" spans="1:7" x14ac:dyDescent="0.25">
      <c r="A77" s="6" t="s">
        <v>986</v>
      </c>
      <c r="B77" s="6" t="s">
        <v>3126</v>
      </c>
      <c r="C77" s="48">
        <v>38</v>
      </c>
      <c r="D77" s="48">
        <v>69780.420568033398</v>
      </c>
      <c r="E77" s="49">
        <v>20671.634423036801</v>
      </c>
      <c r="F77" s="50">
        <v>2.83313820206972</v>
      </c>
      <c r="G77" s="51">
        <v>0.83928409583065799</v>
      </c>
    </row>
    <row r="78" spans="1:7" x14ac:dyDescent="0.25">
      <c r="A78" s="11" t="s">
        <v>6293</v>
      </c>
      <c r="B78" s="11" t="s">
        <v>6294</v>
      </c>
      <c r="C78" s="52">
        <v>2987</v>
      </c>
      <c r="D78" s="52">
        <v>2463008</v>
      </c>
      <c r="E78" s="53">
        <v>3.1645395888145703E-8</v>
      </c>
      <c r="F78" s="54">
        <v>100</v>
      </c>
      <c r="G78" s="55">
        <v>1.00709966502038E-13</v>
      </c>
    </row>
    <row r="79" spans="1:7" x14ac:dyDescent="0.25">
      <c r="A79" s="6" t="s">
        <v>6293</v>
      </c>
      <c r="B79" s="6" t="s">
        <v>6295</v>
      </c>
      <c r="C79" s="48">
        <v>2987</v>
      </c>
      <c r="D79" s="48">
        <v>2463008</v>
      </c>
      <c r="E79" s="49">
        <v>0</v>
      </c>
      <c r="F79" s="50">
        <v>100</v>
      </c>
      <c r="G79" s="51">
        <v>0</v>
      </c>
    </row>
    <row r="80" spans="1:7" x14ac:dyDescent="0.25">
      <c r="A80" s="3353" t="s">
        <v>594</v>
      </c>
      <c r="B80" s="3354"/>
      <c r="C80" s="3354"/>
      <c r="D80" s="3354"/>
      <c r="E80" s="3354"/>
      <c r="F80" s="3354"/>
      <c r="G80" s="3354"/>
    </row>
    <row r="81" spans="1:7" x14ac:dyDescent="0.25">
      <c r="A81" s="11" t="s">
        <v>984</v>
      </c>
      <c r="B81" s="11" t="s">
        <v>345</v>
      </c>
      <c r="C81" s="60">
        <v>2468</v>
      </c>
      <c r="D81" s="60">
        <v>1616867.98013775</v>
      </c>
      <c r="E81" s="61">
        <v>52139.573456275699</v>
      </c>
      <c r="F81" s="62">
        <v>65.646070988715707</v>
      </c>
      <c r="G81" s="63">
        <v>2.1169063785531899</v>
      </c>
    </row>
    <row r="82" spans="1:7" x14ac:dyDescent="0.25">
      <c r="A82" s="6" t="s">
        <v>1174</v>
      </c>
      <c r="B82" s="6" t="s">
        <v>6039</v>
      </c>
      <c r="C82" s="56">
        <v>519</v>
      </c>
      <c r="D82" s="56">
        <v>846140.01986225403</v>
      </c>
      <c r="E82" s="57">
        <v>52139.573456275502</v>
      </c>
      <c r="F82" s="58">
        <v>34.353929011284301</v>
      </c>
      <c r="G82" s="59">
        <v>2.1169063785532001</v>
      </c>
    </row>
    <row r="83" spans="1:7" x14ac:dyDescent="0.25">
      <c r="A83" s="11" t="s">
        <v>6293</v>
      </c>
      <c r="B83" s="11" t="s">
        <v>6294</v>
      </c>
      <c r="C83" s="60">
        <v>2987</v>
      </c>
      <c r="D83" s="60">
        <v>2463008</v>
      </c>
      <c r="E83" s="61">
        <v>3.2719599666211E-8</v>
      </c>
      <c r="F83" s="62">
        <v>100</v>
      </c>
      <c r="G83" s="63">
        <v>1.02786679142825E-14</v>
      </c>
    </row>
    <row r="84" spans="1:7" x14ac:dyDescent="0.25">
      <c r="A84" s="6" t="s">
        <v>6293</v>
      </c>
      <c r="B84" s="6" t="s">
        <v>6295</v>
      </c>
      <c r="C84" s="56">
        <v>2987</v>
      </c>
      <c r="D84" s="56">
        <v>2463008</v>
      </c>
      <c r="E84" s="57">
        <v>0</v>
      </c>
      <c r="F84" s="58">
        <v>100</v>
      </c>
      <c r="G84" s="59">
        <v>0</v>
      </c>
    </row>
    <row r="85" spans="1:7" x14ac:dyDescent="0.25">
      <c r="A85" s="3353" t="s">
        <v>596</v>
      </c>
      <c r="B85" s="3354"/>
      <c r="C85" s="3354"/>
      <c r="D85" s="3354"/>
      <c r="E85" s="3354"/>
      <c r="F85" s="3354"/>
      <c r="G85" s="3354"/>
    </row>
    <row r="86" spans="1:7" x14ac:dyDescent="0.25">
      <c r="A86" s="11" t="s">
        <v>986</v>
      </c>
      <c r="B86" s="11" t="s">
        <v>6053</v>
      </c>
      <c r="C86" s="68">
        <v>725</v>
      </c>
      <c r="D86" s="68">
        <v>1607594.1071852201</v>
      </c>
      <c r="E86" s="69">
        <v>0.53737585474968896</v>
      </c>
      <c r="F86" s="70">
        <v>65.269544686222005</v>
      </c>
      <c r="G86" s="71">
        <v>2.1817869335698702E-5</v>
      </c>
    </row>
    <row r="87" spans="1:7" x14ac:dyDescent="0.25">
      <c r="A87" s="6" t="s">
        <v>988</v>
      </c>
      <c r="B87" s="6" t="s">
        <v>6054</v>
      </c>
      <c r="C87" s="64">
        <v>1880</v>
      </c>
      <c r="D87" s="64">
        <v>742055.85942639201</v>
      </c>
      <c r="E87" s="65">
        <v>0.717366525841035</v>
      </c>
      <c r="F87" s="66">
        <v>30.128032853583601</v>
      </c>
      <c r="G87" s="67">
        <v>2.9125626878477601E-5</v>
      </c>
    </row>
    <row r="88" spans="1:7" x14ac:dyDescent="0.25">
      <c r="A88" s="11" t="s">
        <v>990</v>
      </c>
      <c r="B88" s="11" t="s">
        <v>6055</v>
      </c>
      <c r="C88" s="68">
        <v>382</v>
      </c>
      <c r="D88" s="68">
        <v>113358.03338838401</v>
      </c>
      <c r="E88" s="69">
        <v>0.18089266413743299</v>
      </c>
      <c r="F88" s="70">
        <v>4.6024224601943802</v>
      </c>
      <c r="G88" s="71">
        <v>7.3443799191743499E-6</v>
      </c>
    </row>
    <row r="89" spans="1:7" x14ac:dyDescent="0.25">
      <c r="A89" s="6" t="s">
        <v>6293</v>
      </c>
      <c r="B89" s="6" t="s">
        <v>6294</v>
      </c>
      <c r="C89" s="64">
        <v>2987</v>
      </c>
      <c r="D89" s="64">
        <v>2463008</v>
      </c>
      <c r="E89" s="65">
        <v>1.9452956983511999E-8</v>
      </c>
      <c r="F89" s="66">
        <v>100</v>
      </c>
      <c r="G89" s="67">
        <v>2.29838001744816E-14</v>
      </c>
    </row>
    <row r="90" spans="1:7" x14ac:dyDescent="0.25">
      <c r="A90" s="11" t="s">
        <v>6293</v>
      </c>
      <c r="B90" s="11" t="s">
        <v>6295</v>
      </c>
      <c r="C90" s="68">
        <v>2987</v>
      </c>
      <c r="D90" s="68">
        <v>2463008</v>
      </c>
      <c r="E90" s="69">
        <v>0</v>
      </c>
      <c r="F90" s="70">
        <v>100</v>
      </c>
      <c r="G90" s="71">
        <v>0</v>
      </c>
    </row>
    <row r="91" spans="1:7" x14ac:dyDescent="0.25">
      <c r="A91" s="3353" t="s">
        <v>562</v>
      </c>
      <c r="B91" s="3354"/>
      <c r="C91" s="3354"/>
      <c r="D91" s="3354"/>
      <c r="E91" s="3354"/>
      <c r="F91" s="3354"/>
      <c r="G91" s="3354"/>
    </row>
    <row r="92" spans="1:7" x14ac:dyDescent="0.25">
      <c r="A92" s="11" t="s">
        <v>984</v>
      </c>
      <c r="B92" s="11" t="s">
        <v>6014</v>
      </c>
      <c r="C92" s="76">
        <v>2824</v>
      </c>
      <c r="D92" s="76">
        <v>2285177.1560479002</v>
      </c>
      <c r="E92" s="77">
        <v>25658.655213709699</v>
      </c>
      <c r="F92" s="78">
        <v>92.779932344835899</v>
      </c>
      <c r="G92" s="79">
        <v>1.04176093677755</v>
      </c>
    </row>
    <row r="93" spans="1:7" x14ac:dyDescent="0.25">
      <c r="A93" s="6" t="s">
        <v>988</v>
      </c>
      <c r="B93" s="6" t="s">
        <v>6016</v>
      </c>
      <c r="C93" s="72">
        <v>148</v>
      </c>
      <c r="D93" s="72">
        <v>165720.26141729401</v>
      </c>
      <c r="E93" s="73">
        <v>21113.844369373499</v>
      </c>
      <c r="F93" s="74">
        <v>6.7283687839135702</v>
      </c>
      <c r="G93" s="75">
        <v>0.85723815632648104</v>
      </c>
    </row>
    <row r="94" spans="1:7" x14ac:dyDescent="0.25">
      <c r="A94" s="11" t="s">
        <v>986</v>
      </c>
      <c r="B94" s="11" t="s">
        <v>6015</v>
      </c>
      <c r="C94" s="76">
        <v>15</v>
      </c>
      <c r="D94" s="76">
        <v>12110.582534810699</v>
      </c>
      <c r="E94" s="77">
        <v>7243.7062687132202</v>
      </c>
      <c r="F94" s="78">
        <v>0.49169887125054901</v>
      </c>
      <c r="G94" s="79">
        <v>0.29409998947276</v>
      </c>
    </row>
    <row r="95" spans="1:7" x14ac:dyDescent="0.25">
      <c r="A95" s="6" t="s">
        <v>6293</v>
      </c>
      <c r="B95" s="6" t="s">
        <v>6294</v>
      </c>
      <c r="C95" s="72">
        <v>2987</v>
      </c>
      <c r="D95" s="72">
        <v>2463008</v>
      </c>
      <c r="E95" s="73">
        <v>1.5980490525253901E-8</v>
      </c>
      <c r="F95" s="74">
        <v>100</v>
      </c>
      <c r="G95" s="75">
        <v>2.0557335828564899E-14</v>
      </c>
    </row>
    <row r="96" spans="1:7" x14ac:dyDescent="0.25">
      <c r="A96" s="11" t="s">
        <v>6293</v>
      </c>
      <c r="B96" s="11" t="s">
        <v>6295</v>
      </c>
      <c r="C96" s="76">
        <v>2987</v>
      </c>
      <c r="D96" s="76">
        <v>2463008</v>
      </c>
      <c r="E96" s="77">
        <v>0</v>
      </c>
      <c r="F96" s="78">
        <v>100</v>
      </c>
      <c r="G96" s="79">
        <v>0</v>
      </c>
    </row>
    <row r="97" spans="1:7" x14ac:dyDescent="0.25">
      <c r="A97" s="3353" t="s">
        <v>566</v>
      </c>
      <c r="B97" s="3354"/>
      <c r="C97" s="3354"/>
      <c r="D97" s="3354"/>
      <c r="E97" s="3354"/>
      <c r="F97" s="3354"/>
      <c r="G97" s="3354"/>
    </row>
    <row r="98" spans="1:7" x14ac:dyDescent="0.25">
      <c r="A98" s="11" t="s">
        <v>988</v>
      </c>
      <c r="B98" s="11" t="s">
        <v>6016</v>
      </c>
      <c r="C98" s="84">
        <v>1850</v>
      </c>
      <c r="D98" s="84">
        <v>1724047.1111371501</v>
      </c>
      <c r="E98" s="85">
        <v>31963.907446441801</v>
      </c>
      <c r="F98" s="86">
        <v>69.997625307637804</v>
      </c>
      <c r="G98" s="87">
        <v>1.2977589779018599</v>
      </c>
    </row>
    <row r="99" spans="1:7" x14ac:dyDescent="0.25">
      <c r="A99" s="6" t="s">
        <v>986</v>
      </c>
      <c r="B99" s="6" t="s">
        <v>6015</v>
      </c>
      <c r="C99" s="80">
        <v>1137</v>
      </c>
      <c r="D99" s="80">
        <v>738960.88886285597</v>
      </c>
      <c r="E99" s="81">
        <v>31963.907446440899</v>
      </c>
      <c r="F99" s="82">
        <v>30.002374692362199</v>
      </c>
      <c r="G99" s="83">
        <v>1.2977589779018699</v>
      </c>
    </row>
    <row r="100" spans="1:7" x14ac:dyDescent="0.25">
      <c r="A100" s="11" t="s">
        <v>6293</v>
      </c>
      <c r="B100" s="11" t="s">
        <v>6294</v>
      </c>
      <c r="C100" s="84">
        <v>2987</v>
      </c>
      <c r="D100" s="84">
        <v>2463008</v>
      </c>
      <c r="E100" s="85">
        <v>3.6469676044562798E-8</v>
      </c>
      <c r="F100" s="86">
        <v>100</v>
      </c>
      <c r="G100" s="87">
        <v>2.0557335828564899E-14</v>
      </c>
    </row>
    <row r="101" spans="1:7" x14ac:dyDescent="0.25">
      <c r="A101" s="6" t="s">
        <v>6293</v>
      </c>
      <c r="B101" s="6" t="s">
        <v>6295</v>
      </c>
      <c r="C101" s="80">
        <v>2987</v>
      </c>
      <c r="D101" s="80">
        <v>2463008</v>
      </c>
      <c r="E101" s="81">
        <v>0</v>
      </c>
      <c r="F101" s="82">
        <v>100</v>
      </c>
      <c r="G101" s="83">
        <v>0</v>
      </c>
    </row>
    <row r="102" spans="1:7" x14ac:dyDescent="0.25">
      <c r="A102" s="3353" t="s">
        <v>265</v>
      </c>
      <c r="B102" s="3354"/>
      <c r="C102" s="3354"/>
      <c r="D102" s="3354"/>
      <c r="E102" s="3354"/>
      <c r="F102" s="3354"/>
      <c r="G102" s="3354"/>
    </row>
    <row r="103" spans="1:7" x14ac:dyDescent="0.25">
      <c r="A103" s="11" t="s">
        <v>984</v>
      </c>
      <c r="B103" s="11" t="s">
        <v>3101</v>
      </c>
      <c r="C103" s="92">
        <v>2345</v>
      </c>
      <c r="D103" s="92">
        <v>1524827.3180857101</v>
      </c>
      <c r="E103" s="93">
        <v>3.60494385246575</v>
      </c>
      <c r="F103" s="94">
        <v>61.926769320370902</v>
      </c>
      <c r="G103" s="95">
        <v>1.7832842333265899E-2</v>
      </c>
    </row>
    <row r="104" spans="1:7" x14ac:dyDescent="0.25">
      <c r="A104" s="6" t="s">
        <v>986</v>
      </c>
      <c r="B104" s="6" t="s">
        <v>3102</v>
      </c>
      <c r="C104" s="88">
        <v>609</v>
      </c>
      <c r="D104" s="88">
        <v>905091.51947313803</v>
      </c>
      <c r="E104" s="89">
        <v>10385.0735321636</v>
      </c>
      <c r="F104" s="90">
        <v>36.757863054684798</v>
      </c>
      <c r="G104" s="91">
        <v>0.41942419429088901</v>
      </c>
    </row>
    <row r="105" spans="1:7" x14ac:dyDescent="0.25">
      <c r="A105" s="11" t="s">
        <v>1005</v>
      </c>
      <c r="B105" s="11" t="s">
        <v>3103</v>
      </c>
      <c r="C105" s="92">
        <v>32</v>
      </c>
      <c r="D105" s="92">
        <v>32388.392125936702</v>
      </c>
      <c r="E105" s="93">
        <v>10243.357839073</v>
      </c>
      <c r="F105" s="94">
        <v>1.3153676249443</v>
      </c>
      <c r="G105" s="95">
        <v>0.41606853864158899</v>
      </c>
    </row>
    <row r="106" spans="1:7" x14ac:dyDescent="0.25">
      <c r="A106" s="6" t="s">
        <v>978</v>
      </c>
      <c r="B106" s="6" t="s">
        <v>1047</v>
      </c>
      <c r="C106" s="88">
        <v>1</v>
      </c>
      <c r="D106" s="88">
        <v>700.77031521190895</v>
      </c>
      <c r="E106" s="89">
        <v>709.24653613300495</v>
      </c>
      <c r="F106" s="90">
        <v>100</v>
      </c>
      <c r="G106" s="91" t="e">
        <v>#NUM!</v>
      </c>
    </row>
    <row r="107" spans="1:7" x14ac:dyDescent="0.25">
      <c r="A107" s="11" t="s">
        <v>6293</v>
      </c>
      <c r="B107" s="11" t="s">
        <v>6294</v>
      </c>
      <c r="C107" s="92">
        <v>2986</v>
      </c>
      <c r="D107" s="92">
        <v>2462307.2296847901</v>
      </c>
      <c r="E107" s="93">
        <v>709.24653613283499</v>
      </c>
      <c r="F107" s="94">
        <v>99.971548191674103</v>
      </c>
      <c r="G107" s="95">
        <v>2.8795949348632201E-2</v>
      </c>
    </row>
    <row r="108" spans="1:7" x14ac:dyDescent="0.25">
      <c r="A108" s="6" t="s">
        <v>6293</v>
      </c>
      <c r="B108" s="6" t="s">
        <v>6295</v>
      </c>
      <c r="C108" s="88">
        <v>2987</v>
      </c>
      <c r="D108" s="88">
        <v>2463008</v>
      </c>
      <c r="E108" s="89">
        <v>0</v>
      </c>
      <c r="F108" s="90">
        <v>100</v>
      </c>
      <c r="G108" s="91">
        <v>0</v>
      </c>
    </row>
    <row r="109" spans="1:7" x14ac:dyDescent="0.25">
      <c r="A109" s="3353" t="s">
        <v>270</v>
      </c>
      <c r="B109" s="3354"/>
      <c r="C109" s="3354"/>
      <c r="D109" s="3354"/>
      <c r="E109" s="3354"/>
      <c r="F109" s="3354"/>
      <c r="G109" s="3354"/>
    </row>
    <row r="110" spans="1:7" x14ac:dyDescent="0.25">
      <c r="A110" s="11" t="s">
        <v>6308</v>
      </c>
      <c r="B110" s="11"/>
      <c r="C110" s="100">
        <v>10</v>
      </c>
      <c r="D110" s="100">
        <v>11344.413236553301</v>
      </c>
      <c r="E110" s="101">
        <v>7547.0435262548399</v>
      </c>
      <c r="F110" s="102">
        <v>41.384701035231501</v>
      </c>
      <c r="G110" s="103">
        <v>25.9364335300899</v>
      </c>
    </row>
    <row r="111" spans="1:7" x14ac:dyDescent="0.25">
      <c r="A111" s="6" t="s">
        <v>6309</v>
      </c>
      <c r="B111" s="6"/>
      <c r="C111" s="96">
        <v>10</v>
      </c>
      <c r="D111" s="96">
        <v>10952.161388648599</v>
      </c>
      <c r="E111" s="97">
        <v>7610.3442115069902</v>
      </c>
      <c r="F111" s="98">
        <v>39.953756559077497</v>
      </c>
      <c r="G111" s="99">
        <v>25.714528600727199</v>
      </c>
    </row>
    <row r="112" spans="1:7" x14ac:dyDescent="0.25">
      <c r="A112" s="11" t="s">
        <v>6310</v>
      </c>
      <c r="B112" s="11"/>
      <c r="C112" s="100">
        <v>7</v>
      </c>
      <c r="D112" s="100">
        <v>5115.51958539931</v>
      </c>
      <c r="E112" s="101">
        <v>4048.7799423895599</v>
      </c>
      <c r="F112" s="102">
        <v>18.661542405691002</v>
      </c>
      <c r="G112" s="103">
        <v>17.599225101645601</v>
      </c>
    </row>
    <row r="113" spans="1:7" x14ac:dyDescent="0.25">
      <c r="A113" s="6" t="s">
        <v>982</v>
      </c>
      <c r="B113" s="6" t="s">
        <v>983</v>
      </c>
      <c r="C113" s="96">
        <v>2955</v>
      </c>
      <c r="D113" s="96">
        <v>2430619.60787406</v>
      </c>
      <c r="E113" s="97">
        <v>10243.3578390685</v>
      </c>
      <c r="F113" s="98">
        <v>99.795684583657405</v>
      </c>
      <c r="G113" s="99">
        <v>0.150001026268758</v>
      </c>
    </row>
    <row r="114" spans="1:7" x14ac:dyDescent="0.25">
      <c r="A114" s="11" t="s">
        <v>996</v>
      </c>
      <c r="B114" s="11" t="s">
        <v>997</v>
      </c>
      <c r="C114" s="100">
        <v>5</v>
      </c>
      <c r="D114" s="100">
        <v>4976.29791533552</v>
      </c>
      <c r="E114" s="101">
        <v>3654.2351442732602</v>
      </c>
      <c r="F114" s="102">
        <v>0.20431541634254199</v>
      </c>
      <c r="G114" s="103">
        <v>0.15000102626876</v>
      </c>
    </row>
    <row r="115" spans="1:7" x14ac:dyDescent="0.25">
      <c r="A115" s="6" t="s">
        <v>6293</v>
      </c>
      <c r="B115" s="6" t="s">
        <v>6294</v>
      </c>
      <c r="C115" s="96">
        <v>27</v>
      </c>
      <c r="D115" s="96">
        <v>27412.094210601201</v>
      </c>
      <c r="E115" s="97">
        <v>10061.122262668599</v>
      </c>
      <c r="F115" s="98">
        <v>1.11295189502434</v>
      </c>
      <c r="G115" s="99">
        <v>0.40848922385427</v>
      </c>
    </row>
    <row r="116" spans="1:7" x14ac:dyDescent="0.25">
      <c r="A116" s="11" t="s">
        <v>6293</v>
      </c>
      <c r="B116" s="11" t="s">
        <v>6295</v>
      </c>
      <c r="C116" s="100">
        <v>2987</v>
      </c>
      <c r="D116" s="100">
        <v>2463008</v>
      </c>
      <c r="E116" s="101">
        <v>0</v>
      </c>
      <c r="F116" s="102">
        <v>100</v>
      </c>
      <c r="G116" s="103">
        <v>0</v>
      </c>
    </row>
    <row r="117" spans="1:7" x14ac:dyDescent="0.25">
      <c r="A117" s="3353" t="s">
        <v>255</v>
      </c>
      <c r="B117" s="3354"/>
      <c r="C117" s="3354"/>
      <c r="D117" s="3354"/>
      <c r="E117" s="3354"/>
      <c r="F117" s="3354"/>
      <c r="G117" s="3354"/>
    </row>
    <row r="118" spans="1:7" x14ac:dyDescent="0.25">
      <c r="A118" s="11" t="s">
        <v>6298</v>
      </c>
      <c r="B118" s="11"/>
      <c r="C118" s="108">
        <v>1460</v>
      </c>
      <c r="D118" s="108">
        <v>882579.99999999802</v>
      </c>
      <c r="E118" s="109">
        <v>1.4886472110793101E-8</v>
      </c>
      <c r="F118" s="110">
        <v>35.833419948290803</v>
      </c>
      <c r="G118" s="111">
        <v>5.3223752360618304E-13</v>
      </c>
    </row>
    <row r="119" spans="1:7" x14ac:dyDescent="0.25">
      <c r="A119" s="6" t="s">
        <v>6296</v>
      </c>
      <c r="B119" s="6"/>
      <c r="C119" s="104">
        <v>954</v>
      </c>
      <c r="D119" s="104">
        <v>679338</v>
      </c>
      <c r="E119" s="105">
        <v>2.7223696073571001E-9</v>
      </c>
      <c r="F119" s="106">
        <v>27.5816400109135</v>
      </c>
      <c r="G119" s="107">
        <v>6.62156860934185E-14</v>
      </c>
    </row>
    <row r="120" spans="1:7" x14ac:dyDescent="0.25">
      <c r="A120" s="11" t="s">
        <v>6300</v>
      </c>
      <c r="B120" s="11"/>
      <c r="C120" s="108">
        <v>201</v>
      </c>
      <c r="D120" s="108">
        <v>370303.30670020601</v>
      </c>
      <c r="E120" s="109">
        <v>23681.5296824094</v>
      </c>
      <c r="F120" s="110">
        <v>15.0345961807759</v>
      </c>
      <c r="G120" s="111">
        <v>0.96148813493132701</v>
      </c>
    </row>
    <row r="121" spans="1:7" x14ac:dyDescent="0.25">
      <c r="A121" s="6" t="s">
        <v>6297</v>
      </c>
      <c r="B121" s="6"/>
      <c r="C121" s="104">
        <v>262</v>
      </c>
      <c r="D121" s="104">
        <v>342551.00000000099</v>
      </c>
      <c r="E121" s="105">
        <v>6.3459699372324802E-9</v>
      </c>
      <c r="F121" s="106">
        <v>13.9078313996544</v>
      </c>
      <c r="G121" s="107">
        <v>2.6947219267148201E-13</v>
      </c>
    </row>
    <row r="122" spans="1:7" x14ac:dyDescent="0.25">
      <c r="A122" s="11" t="s">
        <v>6299</v>
      </c>
      <c r="B122" s="11"/>
      <c r="C122" s="108">
        <v>71</v>
      </c>
      <c r="D122" s="108">
        <v>124114.13141556</v>
      </c>
      <c r="E122" s="109">
        <v>26362.0519842373</v>
      </c>
      <c r="F122" s="110">
        <v>5.0391282292042803</v>
      </c>
      <c r="G122" s="111">
        <v>1.0703193811890701</v>
      </c>
    </row>
    <row r="123" spans="1:7" x14ac:dyDescent="0.25">
      <c r="A123" s="6" t="s">
        <v>6301</v>
      </c>
      <c r="B123" s="6"/>
      <c r="C123" s="104">
        <v>24</v>
      </c>
      <c r="D123" s="104">
        <v>31407.736349458999</v>
      </c>
      <c r="E123" s="105">
        <v>10180.9398052549</v>
      </c>
      <c r="F123" s="106">
        <v>1.27517800792604</v>
      </c>
      <c r="G123" s="107">
        <v>0.41335390730582</v>
      </c>
    </row>
    <row r="124" spans="1:7" x14ac:dyDescent="0.25">
      <c r="A124" s="11" t="s">
        <v>6302</v>
      </c>
      <c r="B124" s="11"/>
      <c r="C124" s="108">
        <v>9</v>
      </c>
      <c r="D124" s="108">
        <v>24568.909502568698</v>
      </c>
      <c r="E124" s="109">
        <v>8443.0589725723094</v>
      </c>
      <c r="F124" s="110">
        <v>0.99751643123240796</v>
      </c>
      <c r="G124" s="111">
        <v>0.34279462237119501</v>
      </c>
    </row>
    <row r="125" spans="1:7" x14ac:dyDescent="0.25">
      <c r="A125" s="6" t="s">
        <v>6304</v>
      </c>
      <c r="B125" s="6"/>
      <c r="C125" s="104">
        <v>2</v>
      </c>
      <c r="D125" s="104">
        <v>6308.5794218028204</v>
      </c>
      <c r="E125" s="105">
        <v>5264.82840168657</v>
      </c>
      <c r="F125" s="106">
        <v>0.25613312753360201</v>
      </c>
      <c r="G125" s="107">
        <v>0.213756041461764</v>
      </c>
    </row>
    <row r="126" spans="1:7" x14ac:dyDescent="0.25">
      <c r="A126" s="11" t="s">
        <v>6303</v>
      </c>
      <c r="B126" s="11"/>
      <c r="C126" s="108">
        <v>3</v>
      </c>
      <c r="D126" s="108">
        <v>1836.33661040468</v>
      </c>
      <c r="E126" s="109">
        <v>1478.2142747049099</v>
      </c>
      <c r="F126" s="110">
        <v>7.4556664469002304E-2</v>
      </c>
      <c r="G126" s="111">
        <v>6.0016624984770998E-2</v>
      </c>
    </row>
    <row r="127" spans="1:7" x14ac:dyDescent="0.25">
      <c r="A127" s="6" t="s">
        <v>6293</v>
      </c>
      <c r="B127" s="6" t="s">
        <v>6294</v>
      </c>
      <c r="C127" s="104">
        <v>2986</v>
      </c>
      <c r="D127" s="104">
        <v>2463008</v>
      </c>
      <c r="E127" s="105">
        <v>8.6007886480508002E-9</v>
      </c>
      <c r="F127" s="106">
        <v>100</v>
      </c>
      <c r="G127" s="107">
        <v>2.0557335828564899E-14</v>
      </c>
    </row>
    <row r="128" spans="1:7" x14ac:dyDescent="0.25">
      <c r="A128" s="11" t="s">
        <v>6293</v>
      </c>
      <c r="B128" s="11" t="s">
        <v>6295</v>
      </c>
      <c r="C128" s="108">
        <v>2986</v>
      </c>
      <c r="D128" s="108">
        <v>2463008</v>
      </c>
      <c r="E128" s="109">
        <v>0</v>
      </c>
      <c r="F128" s="110">
        <v>100</v>
      </c>
      <c r="G128" s="111">
        <v>0</v>
      </c>
    </row>
    <row r="129" spans="1:7" x14ac:dyDescent="0.25">
      <c r="A129" s="3353" t="s">
        <v>262</v>
      </c>
      <c r="B129" s="3354"/>
      <c r="C129" s="3354"/>
      <c r="D129" s="3354"/>
      <c r="E129" s="3354"/>
      <c r="F129" s="3354"/>
      <c r="G129" s="3354"/>
    </row>
    <row r="130" spans="1:7" x14ac:dyDescent="0.25">
      <c r="A130" s="11" t="s">
        <v>6296</v>
      </c>
      <c r="B130" s="11"/>
      <c r="C130" s="116">
        <v>996</v>
      </c>
      <c r="D130" s="116">
        <v>910148.71733297501</v>
      </c>
      <c r="E130" s="117">
        <v>1.5155278391001501</v>
      </c>
      <c r="F130" s="118">
        <v>36.9527308613279</v>
      </c>
      <c r="G130" s="119">
        <v>6.15315840202262E-5</v>
      </c>
    </row>
    <row r="131" spans="1:7" x14ac:dyDescent="0.25">
      <c r="A131" s="6" t="s">
        <v>6298</v>
      </c>
      <c r="B131" s="6"/>
      <c r="C131" s="112">
        <v>1082</v>
      </c>
      <c r="D131" s="112">
        <v>817709.06619501195</v>
      </c>
      <c r="E131" s="113">
        <v>42022.749865013197</v>
      </c>
      <c r="F131" s="114">
        <v>33.1996106466163</v>
      </c>
      <c r="G131" s="115">
        <v>1.70615563835007</v>
      </c>
    </row>
    <row r="132" spans="1:7" x14ac:dyDescent="0.25">
      <c r="A132" s="11" t="s">
        <v>6297</v>
      </c>
      <c r="B132" s="11"/>
      <c r="C132" s="116">
        <v>490</v>
      </c>
      <c r="D132" s="116">
        <v>357797.50375862699</v>
      </c>
      <c r="E132" s="117">
        <v>37424.173888566402</v>
      </c>
      <c r="F132" s="118">
        <v>14.526851060111399</v>
      </c>
      <c r="G132" s="119">
        <v>1.5194499526012999</v>
      </c>
    </row>
    <row r="133" spans="1:7" x14ac:dyDescent="0.25">
      <c r="A133" s="6" t="s">
        <v>1174</v>
      </c>
      <c r="B133" s="6"/>
      <c r="C133" s="112">
        <v>90</v>
      </c>
      <c r="D133" s="112">
        <v>169467.88678588299</v>
      </c>
      <c r="E133" s="113">
        <v>0.60284133777506799</v>
      </c>
      <c r="F133" s="114">
        <v>6.8805252271159096</v>
      </c>
      <c r="G133" s="115">
        <v>2.4475817274049101E-5</v>
      </c>
    </row>
    <row r="134" spans="1:7" x14ac:dyDescent="0.25">
      <c r="A134" s="11" t="s">
        <v>6300</v>
      </c>
      <c r="B134" s="11"/>
      <c r="C134" s="116">
        <v>193</v>
      </c>
      <c r="D134" s="116">
        <v>119628.505384346</v>
      </c>
      <c r="E134" s="117">
        <v>17429.933827693101</v>
      </c>
      <c r="F134" s="118">
        <v>4.8570083972258997</v>
      </c>
      <c r="G134" s="119">
        <v>0.70766858360562301</v>
      </c>
    </row>
    <row r="135" spans="1:7" x14ac:dyDescent="0.25">
      <c r="A135" s="6" t="s">
        <v>6299</v>
      </c>
      <c r="B135" s="6"/>
      <c r="C135" s="112">
        <v>79</v>
      </c>
      <c r="D135" s="112">
        <v>60104.963413663798</v>
      </c>
      <c r="E135" s="113">
        <v>16409.907252392601</v>
      </c>
      <c r="F135" s="114">
        <v>2.44030727523677</v>
      </c>
      <c r="G135" s="115">
        <v>0.66625472805580099</v>
      </c>
    </row>
    <row r="136" spans="1:7" x14ac:dyDescent="0.25">
      <c r="A136" s="11" t="s">
        <v>6301</v>
      </c>
      <c r="B136" s="11"/>
      <c r="C136" s="116">
        <v>36</v>
      </c>
      <c r="D136" s="116">
        <v>21452.8284770471</v>
      </c>
      <c r="E136" s="117">
        <v>9757.9471313577596</v>
      </c>
      <c r="F136" s="118">
        <v>0.87100116918203896</v>
      </c>
      <c r="G136" s="119">
        <v>0.39618008270203497</v>
      </c>
    </row>
    <row r="137" spans="1:7" x14ac:dyDescent="0.25">
      <c r="A137" s="6" t="s">
        <v>6303</v>
      </c>
      <c r="B137" s="6"/>
      <c r="C137" s="112">
        <v>7</v>
      </c>
      <c r="D137" s="112">
        <v>4694.7150182546702</v>
      </c>
      <c r="E137" s="113">
        <v>2639.38087612752</v>
      </c>
      <c r="F137" s="114">
        <v>0.190609004041183</v>
      </c>
      <c r="G137" s="115">
        <v>0.107160873051469</v>
      </c>
    </row>
    <row r="138" spans="1:7" x14ac:dyDescent="0.25">
      <c r="A138" s="11" t="s">
        <v>6302</v>
      </c>
      <c r="B138" s="11"/>
      <c r="C138" s="116">
        <v>8</v>
      </c>
      <c r="D138" s="116">
        <v>976.56141005009704</v>
      </c>
      <c r="E138" s="117">
        <v>517.99245291100203</v>
      </c>
      <c r="F138" s="118">
        <v>3.9649136748646299E-2</v>
      </c>
      <c r="G138" s="119">
        <v>2.1030887959397698E-2</v>
      </c>
    </row>
    <row r="139" spans="1:7" x14ac:dyDescent="0.25">
      <c r="A139" s="6" t="s">
        <v>6304</v>
      </c>
      <c r="B139" s="6"/>
      <c r="C139" s="112">
        <v>3</v>
      </c>
      <c r="D139" s="112">
        <v>791.05043302449997</v>
      </c>
      <c r="E139" s="113">
        <v>733.82031575174005</v>
      </c>
      <c r="F139" s="114">
        <v>3.2117249843463799E-2</v>
      </c>
      <c r="G139" s="115">
        <v>2.9793663510298801E-2</v>
      </c>
    </row>
    <row r="140" spans="1:7" x14ac:dyDescent="0.25">
      <c r="A140" s="11" t="s">
        <v>1017</v>
      </c>
      <c r="B140" s="11"/>
      <c r="C140" s="116">
        <v>1</v>
      </c>
      <c r="D140" s="116">
        <v>146.61514040481799</v>
      </c>
      <c r="E140" s="117">
        <v>146.961047561497</v>
      </c>
      <c r="F140" s="118">
        <v>5.9526863252095802E-3</v>
      </c>
      <c r="G140" s="119">
        <v>5.96673041912561E-3</v>
      </c>
    </row>
    <row r="141" spans="1:7" x14ac:dyDescent="0.25">
      <c r="A141" s="6" t="s">
        <v>1021</v>
      </c>
      <c r="B141" s="6"/>
      <c r="C141" s="112">
        <v>2</v>
      </c>
      <c r="D141" s="112">
        <v>89.586650710688005</v>
      </c>
      <c r="E141" s="113">
        <v>94.687918335078294</v>
      </c>
      <c r="F141" s="114">
        <v>3.63728622524523E-3</v>
      </c>
      <c r="G141" s="115">
        <v>3.8444015746225001E-3</v>
      </c>
    </row>
    <row r="142" spans="1:7" x14ac:dyDescent="0.25">
      <c r="A142" s="11" t="s">
        <v>6293</v>
      </c>
      <c r="B142" s="11" t="s">
        <v>6294</v>
      </c>
      <c r="C142" s="116">
        <v>2987</v>
      </c>
      <c r="D142" s="116">
        <v>2463008</v>
      </c>
      <c r="E142" s="117">
        <v>8.6867986741371599E-9</v>
      </c>
      <c r="F142" s="118">
        <v>100</v>
      </c>
      <c r="G142" s="119">
        <v>1.02786679142825E-14</v>
      </c>
    </row>
    <row r="143" spans="1:7" x14ac:dyDescent="0.25">
      <c r="A143" s="6" t="s">
        <v>6293</v>
      </c>
      <c r="B143" s="6" t="s">
        <v>6295</v>
      </c>
      <c r="C143" s="112">
        <v>2987</v>
      </c>
      <c r="D143" s="112">
        <v>2463008</v>
      </c>
      <c r="E143" s="113">
        <v>0</v>
      </c>
      <c r="F143" s="114">
        <v>100</v>
      </c>
      <c r="G143" s="115">
        <v>0</v>
      </c>
    </row>
    <row r="144" spans="1:7" x14ac:dyDescent="0.25">
      <c r="A144" s="3353" t="s">
        <v>239</v>
      </c>
      <c r="B144" s="3354"/>
      <c r="C144" s="3354"/>
      <c r="D144" s="3354"/>
      <c r="E144" s="3354"/>
      <c r="F144" s="3354"/>
      <c r="G144" s="3354"/>
    </row>
    <row r="145" spans="1:7" x14ac:dyDescent="0.25">
      <c r="A145" s="11" t="s">
        <v>994</v>
      </c>
      <c r="B145" s="11" t="s">
        <v>3002</v>
      </c>
      <c r="C145" s="124">
        <v>547</v>
      </c>
      <c r="D145" s="124">
        <v>402613.40357560001</v>
      </c>
      <c r="E145" s="125">
        <v>28271.735380133101</v>
      </c>
      <c r="F145" s="126">
        <v>16.825876566086201</v>
      </c>
      <c r="G145" s="127">
        <v>1.18345262188234</v>
      </c>
    </row>
    <row r="146" spans="1:7" x14ac:dyDescent="0.25">
      <c r="A146" s="6" t="s">
        <v>1003</v>
      </c>
      <c r="B146" s="6" t="s">
        <v>3003</v>
      </c>
      <c r="C146" s="120">
        <v>354</v>
      </c>
      <c r="D146" s="120">
        <v>334440.42367696302</v>
      </c>
      <c r="E146" s="121">
        <v>37974.550419859399</v>
      </c>
      <c r="F146" s="122">
        <v>13.9768155692847</v>
      </c>
      <c r="G146" s="123">
        <v>1.53172776207255</v>
      </c>
    </row>
    <row r="147" spans="1:7" x14ac:dyDescent="0.25">
      <c r="A147" s="11" t="s">
        <v>992</v>
      </c>
      <c r="B147" s="11" t="s">
        <v>3001</v>
      </c>
      <c r="C147" s="124">
        <v>444</v>
      </c>
      <c r="D147" s="124">
        <v>314534.82631554699</v>
      </c>
      <c r="E147" s="125">
        <v>32495.6872644387</v>
      </c>
      <c r="F147" s="126">
        <v>13.1449279043364</v>
      </c>
      <c r="G147" s="127">
        <v>1.3615315432530899</v>
      </c>
    </row>
    <row r="148" spans="1:7" x14ac:dyDescent="0.25">
      <c r="A148" s="6" t="s">
        <v>1013</v>
      </c>
      <c r="B148" s="6" t="s">
        <v>3004</v>
      </c>
      <c r="C148" s="120">
        <v>229</v>
      </c>
      <c r="D148" s="120">
        <v>255096.723222984</v>
      </c>
      <c r="E148" s="121">
        <v>24071.6898840789</v>
      </c>
      <c r="F148" s="122">
        <v>10.660911780988499</v>
      </c>
      <c r="G148" s="123">
        <v>1.0141719807353899</v>
      </c>
    </row>
    <row r="149" spans="1:7" x14ac:dyDescent="0.25">
      <c r="A149" s="11" t="s">
        <v>988</v>
      </c>
      <c r="B149" s="11" t="s">
        <v>2999</v>
      </c>
      <c r="C149" s="124">
        <v>338</v>
      </c>
      <c r="D149" s="124">
        <v>226424.696985032</v>
      </c>
      <c r="E149" s="125">
        <v>27126.900534392302</v>
      </c>
      <c r="F149" s="126">
        <v>9.4626606296485196</v>
      </c>
      <c r="G149" s="127">
        <v>1.14031827030869</v>
      </c>
    </row>
    <row r="150" spans="1:7" x14ac:dyDescent="0.25">
      <c r="A150" s="6" t="s">
        <v>990</v>
      </c>
      <c r="B150" s="6" t="s">
        <v>3000</v>
      </c>
      <c r="C150" s="120">
        <v>313</v>
      </c>
      <c r="D150" s="120">
        <v>218874.84848950899</v>
      </c>
      <c r="E150" s="121">
        <v>28836.063305448501</v>
      </c>
      <c r="F150" s="122">
        <v>9.1471400390518394</v>
      </c>
      <c r="G150" s="123">
        <v>1.2126296892919799</v>
      </c>
    </row>
    <row r="151" spans="1:7" x14ac:dyDescent="0.25">
      <c r="A151" s="11" t="s">
        <v>984</v>
      </c>
      <c r="B151" s="11" t="s">
        <v>2997</v>
      </c>
      <c r="C151" s="124">
        <v>157</v>
      </c>
      <c r="D151" s="124">
        <v>216923.097714364</v>
      </c>
      <c r="E151" s="125">
        <v>29763.208694876601</v>
      </c>
      <c r="F151" s="126">
        <v>9.0655731628904501</v>
      </c>
      <c r="G151" s="127">
        <v>1.23655055588505</v>
      </c>
    </row>
    <row r="152" spans="1:7" x14ac:dyDescent="0.25">
      <c r="A152" s="6" t="s">
        <v>986</v>
      </c>
      <c r="B152" s="6" t="s">
        <v>2998</v>
      </c>
      <c r="C152" s="120">
        <v>184</v>
      </c>
      <c r="D152" s="120">
        <v>154019.46474915501</v>
      </c>
      <c r="E152" s="121">
        <v>21664.004975234999</v>
      </c>
      <c r="F152" s="122">
        <v>6.4367268442351504</v>
      </c>
      <c r="G152" s="123">
        <v>0.90755355843727603</v>
      </c>
    </row>
    <row r="153" spans="1:7" x14ac:dyDescent="0.25">
      <c r="A153" s="11" t="s">
        <v>1017</v>
      </c>
      <c r="B153" s="11" t="s">
        <v>3006</v>
      </c>
      <c r="C153" s="124">
        <v>98</v>
      </c>
      <c r="D153" s="124">
        <v>95824.778653785295</v>
      </c>
      <c r="E153" s="125">
        <v>16303.73404433</v>
      </c>
      <c r="F153" s="126">
        <v>4.0046751630273798</v>
      </c>
      <c r="G153" s="127">
        <v>0.68025375979392</v>
      </c>
    </row>
    <row r="154" spans="1:7" x14ac:dyDescent="0.25">
      <c r="A154" s="6" t="s">
        <v>1015</v>
      </c>
      <c r="B154" s="6" t="s">
        <v>3005</v>
      </c>
      <c r="C154" s="120">
        <v>117</v>
      </c>
      <c r="D154" s="120">
        <v>91289.610938546393</v>
      </c>
      <c r="E154" s="121">
        <v>11589.6367860384</v>
      </c>
      <c r="F154" s="122">
        <v>3.8151430423741299</v>
      </c>
      <c r="G154" s="123">
        <v>0.492013147185283</v>
      </c>
    </row>
    <row r="155" spans="1:7" x14ac:dyDescent="0.25">
      <c r="A155" s="11" t="s">
        <v>1019</v>
      </c>
      <c r="B155" s="11" t="s">
        <v>3007</v>
      </c>
      <c r="C155" s="124">
        <v>97</v>
      </c>
      <c r="D155" s="124">
        <v>82780.882901734396</v>
      </c>
      <c r="E155" s="125">
        <v>19190.810807166199</v>
      </c>
      <c r="F155" s="126">
        <v>3.4595492980766598</v>
      </c>
      <c r="G155" s="127">
        <v>0.80499031738095805</v>
      </c>
    </row>
    <row r="156" spans="1:7" x14ac:dyDescent="0.25">
      <c r="A156" s="6" t="s">
        <v>980</v>
      </c>
      <c r="B156" s="6" t="s">
        <v>981</v>
      </c>
      <c r="C156" s="120">
        <v>93</v>
      </c>
      <c r="D156" s="120">
        <v>64918.281871262603</v>
      </c>
      <c r="E156" s="121">
        <v>14524.5456791087</v>
      </c>
      <c r="F156" s="122">
        <v>92.495629142054</v>
      </c>
      <c r="G156" s="123">
        <v>3.4140047370445301</v>
      </c>
    </row>
    <row r="157" spans="1:7" x14ac:dyDescent="0.25">
      <c r="A157" s="11" t="s">
        <v>978</v>
      </c>
      <c r="B157" s="11" t="s">
        <v>979</v>
      </c>
      <c r="C157" s="124">
        <v>15</v>
      </c>
      <c r="D157" s="124">
        <v>4815.9454222837503</v>
      </c>
      <c r="E157" s="125">
        <v>2000.06315295279</v>
      </c>
      <c r="F157" s="126">
        <v>6.8617635727220296</v>
      </c>
      <c r="G157" s="127">
        <v>3.3766689097774201</v>
      </c>
    </row>
    <row r="158" spans="1:7" x14ac:dyDescent="0.25">
      <c r="A158" s="6" t="s">
        <v>996</v>
      </c>
      <c r="B158" s="6" t="s">
        <v>997</v>
      </c>
      <c r="C158" s="120">
        <v>1</v>
      </c>
      <c r="D158" s="120">
        <v>451.01548323573297</v>
      </c>
      <c r="E158" s="121">
        <v>454.39414358868999</v>
      </c>
      <c r="F158" s="122">
        <v>0.64260728522397104</v>
      </c>
      <c r="G158" s="123">
        <v>0.679562488272901</v>
      </c>
    </row>
    <row r="159" spans="1:7" x14ac:dyDescent="0.25">
      <c r="A159" s="11" t="s">
        <v>6293</v>
      </c>
      <c r="B159" s="11" t="s">
        <v>6294</v>
      </c>
      <c r="C159" s="124">
        <v>2878</v>
      </c>
      <c r="D159" s="124">
        <v>2392822.7572232201</v>
      </c>
      <c r="E159" s="125">
        <v>14134.0714803419</v>
      </c>
      <c r="F159" s="126">
        <v>97.150425708045503</v>
      </c>
      <c r="G159" s="127">
        <v>0.57385406301332798</v>
      </c>
    </row>
    <row r="160" spans="1:7" x14ac:dyDescent="0.25">
      <c r="A160" s="6" t="s">
        <v>6293</v>
      </c>
      <c r="B160" s="6" t="s">
        <v>6295</v>
      </c>
      <c r="C160" s="120">
        <v>2987</v>
      </c>
      <c r="D160" s="120">
        <v>2463008</v>
      </c>
      <c r="E160" s="121">
        <v>0</v>
      </c>
      <c r="F160" s="122">
        <v>100</v>
      </c>
      <c r="G160" s="123">
        <v>0</v>
      </c>
    </row>
    <row r="161" spans="1:7" x14ac:dyDescent="0.25">
      <c r="A161" s="3353" t="s">
        <v>334</v>
      </c>
      <c r="B161" s="3354"/>
      <c r="C161" s="3354"/>
      <c r="D161" s="3354"/>
      <c r="E161" s="3354"/>
      <c r="F161" s="3354"/>
      <c r="G161" s="3354"/>
    </row>
    <row r="162" spans="1:7" x14ac:dyDescent="0.25">
      <c r="A162" s="11" t="s">
        <v>986</v>
      </c>
      <c r="B162" s="11" t="s">
        <v>1153</v>
      </c>
      <c r="C162" s="132">
        <v>1612</v>
      </c>
      <c r="D162" s="132">
        <v>1528271.0052125501</v>
      </c>
      <c r="E162" s="133">
        <v>61830.961205278203</v>
      </c>
      <c r="F162" s="134">
        <v>63.335344794181196</v>
      </c>
      <c r="G162" s="135">
        <v>2.3220064333747601</v>
      </c>
    </row>
    <row r="163" spans="1:7" x14ac:dyDescent="0.25">
      <c r="A163" s="6" t="s">
        <v>984</v>
      </c>
      <c r="B163" s="6" t="s">
        <v>3124</v>
      </c>
      <c r="C163" s="128">
        <v>1302</v>
      </c>
      <c r="D163" s="128">
        <v>884711.840588519</v>
      </c>
      <c r="E163" s="129">
        <v>54019.347980478902</v>
      </c>
      <c r="F163" s="130">
        <v>36.664655205818804</v>
      </c>
      <c r="G163" s="131">
        <v>2.3220064333747601</v>
      </c>
    </row>
    <row r="164" spans="1:7" x14ac:dyDescent="0.25">
      <c r="A164" s="11" t="s">
        <v>982</v>
      </c>
      <c r="B164" s="11" t="s">
        <v>983</v>
      </c>
      <c r="C164" s="132">
        <v>73</v>
      </c>
      <c r="D164" s="132">
        <v>50025.154198926903</v>
      </c>
      <c r="E164" s="133">
        <v>21038.531783437302</v>
      </c>
      <c r="F164" s="134">
        <v>100</v>
      </c>
      <c r="G164" s="135">
        <v>0</v>
      </c>
    </row>
    <row r="165" spans="1:7" x14ac:dyDescent="0.25">
      <c r="A165" s="6" t="s">
        <v>6293</v>
      </c>
      <c r="B165" s="6" t="s">
        <v>6294</v>
      </c>
      <c r="C165" s="128">
        <v>2914</v>
      </c>
      <c r="D165" s="128">
        <v>2412982.8458010699</v>
      </c>
      <c r="E165" s="129">
        <v>21038.531783435999</v>
      </c>
      <c r="F165" s="130">
        <v>97.968940653098699</v>
      </c>
      <c r="G165" s="131">
        <v>0.85418040799855399</v>
      </c>
    </row>
    <row r="166" spans="1:7" x14ac:dyDescent="0.25">
      <c r="A166" s="11" t="s">
        <v>6293</v>
      </c>
      <c r="B166" s="11" t="s">
        <v>6295</v>
      </c>
      <c r="C166" s="132">
        <v>2987</v>
      </c>
      <c r="D166" s="132">
        <v>2463008</v>
      </c>
      <c r="E166" s="133">
        <v>0</v>
      </c>
      <c r="F166" s="134">
        <v>100</v>
      </c>
      <c r="G166" s="135">
        <v>0</v>
      </c>
    </row>
    <row r="167" spans="1:7" x14ac:dyDescent="0.25">
      <c r="A167" s="3353" t="s">
        <v>491</v>
      </c>
      <c r="B167" s="3354"/>
      <c r="C167" s="3354"/>
      <c r="D167" s="3354"/>
      <c r="E167" s="3354"/>
      <c r="F167" s="3354"/>
      <c r="G167" s="3354"/>
    </row>
    <row r="168" spans="1:7" x14ac:dyDescent="0.25">
      <c r="A168" s="11" t="s">
        <v>984</v>
      </c>
      <c r="B168" s="11" t="s">
        <v>1063</v>
      </c>
      <c r="C168" s="140">
        <v>2092</v>
      </c>
      <c r="D168" s="140">
        <v>1705745.6683437601</v>
      </c>
      <c r="E168" s="141">
        <v>38729.6015873754</v>
      </c>
      <c r="F168" s="142">
        <v>70.212997232937497</v>
      </c>
      <c r="G168" s="143">
        <v>1.59652120649671</v>
      </c>
    </row>
    <row r="169" spans="1:7" x14ac:dyDescent="0.25">
      <c r="A169" s="6" t="s">
        <v>986</v>
      </c>
      <c r="B169" s="6" t="s">
        <v>1043</v>
      </c>
      <c r="C169" s="136">
        <v>348</v>
      </c>
      <c r="D169" s="136">
        <v>325137.82587112999</v>
      </c>
      <c r="E169" s="137">
        <v>27793.992584372299</v>
      </c>
      <c r="F169" s="138">
        <v>13.383531725675899</v>
      </c>
      <c r="G169" s="139">
        <v>1.1260652246276199</v>
      </c>
    </row>
    <row r="170" spans="1:7" x14ac:dyDescent="0.25">
      <c r="A170" s="11" t="s">
        <v>992</v>
      </c>
      <c r="B170" s="11" t="s">
        <v>5998</v>
      </c>
      <c r="C170" s="140">
        <v>306</v>
      </c>
      <c r="D170" s="140">
        <v>216119.65748612399</v>
      </c>
      <c r="E170" s="141">
        <v>20899.996621251499</v>
      </c>
      <c r="F170" s="142">
        <v>8.89605595644902</v>
      </c>
      <c r="G170" s="143">
        <v>0.85013126341943002</v>
      </c>
    </row>
    <row r="171" spans="1:7" x14ac:dyDescent="0.25">
      <c r="A171" s="6" t="s">
        <v>988</v>
      </c>
      <c r="B171" s="6" t="s">
        <v>1044</v>
      </c>
      <c r="C171" s="136">
        <v>138</v>
      </c>
      <c r="D171" s="136">
        <v>114483.637016284</v>
      </c>
      <c r="E171" s="137">
        <v>14929.4006114944</v>
      </c>
      <c r="F171" s="138">
        <v>4.7124488944743499</v>
      </c>
      <c r="G171" s="139">
        <v>0.62140737948351699</v>
      </c>
    </row>
    <row r="172" spans="1:7" x14ac:dyDescent="0.25">
      <c r="A172" s="11" t="s">
        <v>990</v>
      </c>
      <c r="B172" s="11" t="s">
        <v>1045</v>
      </c>
      <c r="C172" s="140">
        <v>69</v>
      </c>
      <c r="D172" s="140">
        <v>67900.5548891941</v>
      </c>
      <c r="E172" s="141">
        <v>20388.141868891798</v>
      </c>
      <c r="F172" s="142">
        <v>2.7949661904632301</v>
      </c>
      <c r="G172" s="143">
        <v>0.84111339056408696</v>
      </c>
    </row>
    <row r="173" spans="1:7" x14ac:dyDescent="0.25">
      <c r="A173" s="6" t="s">
        <v>982</v>
      </c>
      <c r="B173" s="6" t="s">
        <v>983</v>
      </c>
      <c r="C173" s="136">
        <v>34</v>
      </c>
      <c r="D173" s="136">
        <v>33620.656393511403</v>
      </c>
      <c r="E173" s="137">
        <v>12818.731770590601</v>
      </c>
      <c r="F173" s="138">
        <v>100</v>
      </c>
      <c r="G173" s="139">
        <v>0</v>
      </c>
    </row>
    <row r="174" spans="1:7" x14ac:dyDescent="0.25">
      <c r="A174" s="11" t="s">
        <v>6293</v>
      </c>
      <c r="B174" s="11" t="s">
        <v>6294</v>
      </c>
      <c r="C174" s="140">
        <v>2953</v>
      </c>
      <c r="D174" s="140">
        <v>2429387.3436064902</v>
      </c>
      <c r="E174" s="141">
        <v>12818.731770590401</v>
      </c>
      <c r="F174" s="142">
        <v>98.634975753488803</v>
      </c>
      <c r="G174" s="143">
        <v>0.52045026936943295</v>
      </c>
    </row>
    <row r="175" spans="1:7" x14ac:dyDescent="0.25">
      <c r="A175" s="6" t="s">
        <v>6293</v>
      </c>
      <c r="B175" s="6" t="s">
        <v>6295</v>
      </c>
      <c r="C175" s="136">
        <v>2987</v>
      </c>
      <c r="D175" s="136">
        <v>2463008</v>
      </c>
      <c r="E175" s="137">
        <v>0</v>
      </c>
      <c r="F175" s="138">
        <v>100</v>
      </c>
      <c r="G175" s="139">
        <v>0</v>
      </c>
    </row>
    <row r="176" spans="1:7" x14ac:dyDescent="0.25">
      <c r="A176" s="3353" t="s">
        <v>615</v>
      </c>
      <c r="B176" s="3354"/>
      <c r="C176" s="3354"/>
      <c r="D176" s="3354"/>
      <c r="E176" s="3354"/>
      <c r="F176" s="3354"/>
      <c r="G176" s="3354"/>
    </row>
    <row r="177" spans="1:7" x14ac:dyDescent="0.25">
      <c r="A177" s="11" t="s">
        <v>984</v>
      </c>
      <c r="B177" s="11" t="s">
        <v>1042</v>
      </c>
      <c r="C177" s="148">
        <v>1837</v>
      </c>
      <c r="D177" s="148">
        <v>1793633.12357812</v>
      </c>
      <c r="E177" s="149">
        <v>42522.651680409203</v>
      </c>
      <c r="F177" s="150">
        <v>74.383710567262199</v>
      </c>
      <c r="G177" s="151">
        <v>1.7590904999508701</v>
      </c>
    </row>
    <row r="178" spans="1:7" x14ac:dyDescent="0.25">
      <c r="A178" s="6" t="s">
        <v>992</v>
      </c>
      <c r="B178" s="6" t="s">
        <v>1046</v>
      </c>
      <c r="C178" s="144">
        <v>734</v>
      </c>
      <c r="D178" s="144">
        <v>387779.44628855202</v>
      </c>
      <c r="E178" s="145">
        <v>26104.6538695872</v>
      </c>
      <c r="F178" s="146">
        <v>16.081590888062401</v>
      </c>
      <c r="G178" s="147">
        <v>1.06023163889937</v>
      </c>
    </row>
    <row r="179" spans="1:7" x14ac:dyDescent="0.25">
      <c r="A179" s="11" t="s">
        <v>986</v>
      </c>
      <c r="B179" s="11" t="s">
        <v>1064</v>
      </c>
      <c r="C179" s="148">
        <v>194</v>
      </c>
      <c r="D179" s="148">
        <v>150358.05406785299</v>
      </c>
      <c r="E179" s="149">
        <v>24722.057806373199</v>
      </c>
      <c r="F179" s="150">
        <v>6.2354947777328098</v>
      </c>
      <c r="G179" s="151">
        <v>1.02674012486981</v>
      </c>
    </row>
    <row r="180" spans="1:7" x14ac:dyDescent="0.25">
      <c r="A180" s="6" t="s">
        <v>988</v>
      </c>
      <c r="B180" s="6" t="s">
        <v>1044</v>
      </c>
      <c r="C180" s="144">
        <v>90</v>
      </c>
      <c r="D180" s="144">
        <v>57200.199013434503</v>
      </c>
      <c r="E180" s="145">
        <v>14835.7944249845</v>
      </c>
      <c r="F180" s="146">
        <v>2.3721479001889101</v>
      </c>
      <c r="G180" s="147">
        <v>0.61320988297938595</v>
      </c>
    </row>
    <row r="181" spans="1:7" x14ac:dyDescent="0.25">
      <c r="A181" s="11" t="s">
        <v>990</v>
      </c>
      <c r="B181" s="11" t="s">
        <v>1045</v>
      </c>
      <c r="C181" s="148">
        <v>39</v>
      </c>
      <c r="D181" s="148">
        <v>22354.3313090462</v>
      </c>
      <c r="E181" s="149">
        <v>9446.0490828940492</v>
      </c>
      <c r="F181" s="150">
        <v>0.92705586675365403</v>
      </c>
      <c r="G181" s="151">
        <v>0.391237693734864</v>
      </c>
    </row>
    <row r="182" spans="1:7" x14ac:dyDescent="0.25">
      <c r="A182" s="6" t="s">
        <v>982</v>
      </c>
      <c r="B182" s="6" t="s">
        <v>983</v>
      </c>
      <c r="C182" s="144">
        <v>92</v>
      </c>
      <c r="D182" s="144">
        <v>51645.861760644402</v>
      </c>
      <c r="E182" s="145">
        <v>15025.318806499499</v>
      </c>
      <c r="F182" s="146">
        <v>99.928440507055896</v>
      </c>
      <c r="G182" s="147">
        <v>8.1756898820220705E-2</v>
      </c>
    </row>
    <row r="183" spans="1:7" x14ac:dyDescent="0.25">
      <c r="A183" s="11" t="s">
        <v>978</v>
      </c>
      <c r="B183" s="11" t="s">
        <v>1047</v>
      </c>
      <c r="C183" s="148">
        <v>1</v>
      </c>
      <c r="D183" s="148">
        <v>36.983982352754303</v>
      </c>
      <c r="E183" s="149">
        <v>38.181007376813902</v>
      </c>
      <c r="F183" s="150">
        <v>7.1559492944069394E-2</v>
      </c>
      <c r="G183" s="151">
        <v>8.1756898820215806E-2</v>
      </c>
    </row>
    <row r="184" spans="1:7" x14ac:dyDescent="0.25">
      <c r="A184" s="6" t="s">
        <v>6293</v>
      </c>
      <c r="B184" s="6" t="s">
        <v>6294</v>
      </c>
      <c r="C184" s="144">
        <v>2894</v>
      </c>
      <c r="D184" s="144">
        <v>2411325.154257</v>
      </c>
      <c r="E184" s="145">
        <v>15032.3584653813</v>
      </c>
      <c r="F184" s="146">
        <v>97.901637114333496</v>
      </c>
      <c r="G184" s="147">
        <v>0.61032519851265399</v>
      </c>
    </row>
    <row r="185" spans="1:7" x14ac:dyDescent="0.25">
      <c r="A185" s="11" t="s">
        <v>6293</v>
      </c>
      <c r="B185" s="11" t="s">
        <v>6295</v>
      </c>
      <c r="C185" s="148">
        <v>2987</v>
      </c>
      <c r="D185" s="148">
        <v>2463008</v>
      </c>
      <c r="E185" s="149">
        <v>0</v>
      </c>
      <c r="F185" s="150">
        <v>100</v>
      </c>
      <c r="G185" s="151">
        <v>0</v>
      </c>
    </row>
    <row r="186" spans="1:7" x14ac:dyDescent="0.25">
      <c r="A186" s="3353" t="s">
        <v>639</v>
      </c>
      <c r="B186" s="3354"/>
      <c r="C186" s="3354"/>
      <c r="D186" s="3354"/>
      <c r="E186" s="3354"/>
      <c r="F186" s="3354"/>
      <c r="G186" s="3354"/>
    </row>
    <row r="187" spans="1:7" x14ac:dyDescent="0.25">
      <c r="A187" s="11" t="s">
        <v>992</v>
      </c>
      <c r="B187" s="11" t="s">
        <v>5998</v>
      </c>
      <c r="C187" s="156">
        <v>1215</v>
      </c>
      <c r="D187" s="156">
        <v>872354.65811475797</v>
      </c>
      <c r="E187" s="157">
        <v>31428.9504636934</v>
      </c>
      <c r="F187" s="158">
        <v>36.606990908634302</v>
      </c>
      <c r="G187" s="159">
        <v>1.30743619279884</v>
      </c>
    </row>
    <row r="188" spans="1:7" x14ac:dyDescent="0.25">
      <c r="A188" s="6" t="s">
        <v>984</v>
      </c>
      <c r="B188" s="6" t="s">
        <v>1042</v>
      </c>
      <c r="C188" s="152">
        <v>910</v>
      </c>
      <c r="D188" s="152">
        <v>824673.15116168198</v>
      </c>
      <c r="E188" s="153">
        <v>42885.2617005961</v>
      </c>
      <c r="F188" s="154">
        <v>34.606111478113</v>
      </c>
      <c r="G188" s="155">
        <v>1.84841422786805</v>
      </c>
    </row>
    <row r="189" spans="1:7" x14ac:dyDescent="0.25">
      <c r="A189" s="11" t="s">
        <v>986</v>
      </c>
      <c r="B189" s="11" t="s">
        <v>1064</v>
      </c>
      <c r="C189" s="156">
        <v>370</v>
      </c>
      <c r="D189" s="156">
        <v>373774.547568093</v>
      </c>
      <c r="E189" s="157">
        <v>33921.411355476703</v>
      </c>
      <c r="F189" s="158">
        <v>15.684860896225199</v>
      </c>
      <c r="G189" s="159">
        <v>1.4130167780317999</v>
      </c>
    </row>
    <row r="190" spans="1:7" x14ac:dyDescent="0.25">
      <c r="A190" s="6" t="s">
        <v>988</v>
      </c>
      <c r="B190" s="6" t="s">
        <v>1044</v>
      </c>
      <c r="C190" s="152">
        <v>215</v>
      </c>
      <c r="D190" s="152">
        <v>188667.00650861399</v>
      </c>
      <c r="E190" s="153">
        <v>19401.840673005099</v>
      </c>
      <c r="F190" s="154">
        <v>7.9171141321647198</v>
      </c>
      <c r="G190" s="155">
        <v>0.79036971871836603</v>
      </c>
    </row>
    <row r="191" spans="1:7" x14ac:dyDescent="0.25">
      <c r="A191" s="11" t="s">
        <v>990</v>
      </c>
      <c r="B191" s="11" t="s">
        <v>1045</v>
      </c>
      <c r="C191" s="156">
        <v>147</v>
      </c>
      <c r="D191" s="156">
        <v>123558.130744981</v>
      </c>
      <c r="E191" s="157">
        <v>25995.401876913598</v>
      </c>
      <c r="F191" s="158">
        <v>5.1849225848626999</v>
      </c>
      <c r="G191" s="159">
        <v>1.08063009320241</v>
      </c>
    </row>
    <row r="192" spans="1:7" x14ac:dyDescent="0.25">
      <c r="A192" s="6" t="s">
        <v>982</v>
      </c>
      <c r="B192" s="6" t="s">
        <v>983</v>
      </c>
      <c r="C192" s="152">
        <v>130</v>
      </c>
      <c r="D192" s="152">
        <v>79980.505901870201</v>
      </c>
      <c r="E192" s="153">
        <v>19243.298776105399</v>
      </c>
      <c r="F192" s="154">
        <v>100</v>
      </c>
      <c r="G192" s="155">
        <v>0</v>
      </c>
    </row>
    <row r="193" spans="1:7" x14ac:dyDescent="0.25">
      <c r="A193" s="11" t="s">
        <v>6293</v>
      </c>
      <c r="B193" s="11" t="s">
        <v>6294</v>
      </c>
      <c r="C193" s="156">
        <v>2857</v>
      </c>
      <c r="D193" s="156">
        <v>2383027.4940981301</v>
      </c>
      <c r="E193" s="157">
        <v>19243.298776106702</v>
      </c>
      <c r="F193" s="158">
        <v>96.752730567587705</v>
      </c>
      <c r="G193" s="159">
        <v>0.78129258110836097</v>
      </c>
    </row>
    <row r="194" spans="1:7" x14ac:dyDescent="0.25">
      <c r="A194" s="6" t="s">
        <v>6293</v>
      </c>
      <c r="B194" s="6" t="s">
        <v>6295</v>
      </c>
      <c r="C194" s="152">
        <v>2987</v>
      </c>
      <c r="D194" s="152">
        <v>2463008</v>
      </c>
      <c r="E194" s="153">
        <v>0</v>
      </c>
      <c r="F194" s="154">
        <v>100</v>
      </c>
      <c r="G194" s="155">
        <v>0</v>
      </c>
    </row>
    <row r="195" spans="1:7" x14ac:dyDescent="0.25">
      <c r="A195" s="3353" t="s">
        <v>437</v>
      </c>
      <c r="B195" s="3354"/>
      <c r="C195" s="3354"/>
      <c r="D195" s="3354"/>
      <c r="E195" s="3354"/>
      <c r="F195" s="3354"/>
      <c r="G195" s="3354"/>
    </row>
    <row r="196" spans="1:7" x14ac:dyDescent="0.25">
      <c r="A196" s="11" t="s">
        <v>992</v>
      </c>
      <c r="B196" s="11" t="s">
        <v>5998</v>
      </c>
      <c r="C196" s="164">
        <v>862</v>
      </c>
      <c r="D196" s="164">
        <v>679349.32447671704</v>
      </c>
      <c r="E196" s="165">
        <v>49123.883950511103</v>
      </c>
      <c r="F196" s="166">
        <v>83.7669291949193</v>
      </c>
      <c r="G196" s="167">
        <v>2.28601195919147</v>
      </c>
    </row>
    <row r="197" spans="1:7" x14ac:dyDescent="0.25">
      <c r="A197" s="6" t="s">
        <v>984</v>
      </c>
      <c r="B197" s="6" t="s">
        <v>1042</v>
      </c>
      <c r="C197" s="160">
        <v>85</v>
      </c>
      <c r="D197" s="160">
        <v>85789.685207468894</v>
      </c>
      <c r="E197" s="161">
        <v>23151.3914460091</v>
      </c>
      <c r="F197" s="162">
        <v>10.578266920282701</v>
      </c>
      <c r="G197" s="163">
        <v>2.85154643423654</v>
      </c>
    </row>
    <row r="198" spans="1:7" x14ac:dyDescent="0.25">
      <c r="A198" s="11" t="s">
        <v>986</v>
      </c>
      <c r="B198" s="11" t="s">
        <v>1064</v>
      </c>
      <c r="C198" s="164">
        <v>35</v>
      </c>
      <c r="D198" s="164">
        <v>34471.2375619167</v>
      </c>
      <c r="E198" s="165">
        <v>11908.3422226857</v>
      </c>
      <c r="F198" s="166">
        <v>4.25046380716506</v>
      </c>
      <c r="G198" s="167">
        <v>1.4653204231935</v>
      </c>
    </row>
    <row r="199" spans="1:7" x14ac:dyDescent="0.25">
      <c r="A199" s="6" t="s">
        <v>990</v>
      </c>
      <c r="B199" s="6" t="s">
        <v>1045</v>
      </c>
      <c r="C199" s="160">
        <v>5</v>
      </c>
      <c r="D199" s="160">
        <v>7253.8008896585998</v>
      </c>
      <c r="E199" s="161">
        <v>6671.28906992262</v>
      </c>
      <c r="F199" s="162">
        <v>0.89442736398702305</v>
      </c>
      <c r="G199" s="163">
        <v>0.81916926185494698</v>
      </c>
    </row>
    <row r="200" spans="1:7" x14ac:dyDescent="0.25">
      <c r="A200" s="11" t="s">
        <v>988</v>
      </c>
      <c r="B200" s="11" t="s">
        <v>1044</v>
      </c>
      <c r="C200" s="164">
        <v>12</v>
      </c>
      <c r="D200" s="164">
        <v>4135.3892387692504</v>
      </c>
      <c r="E200" s="165">
        <v>2120.6274903397998</v>
      </c>
      <c r="F200" s="166">
        <v>0.50991271364587598</v>
      </c>
      <c r="G200" s="167">
        <v>0.27522682753015798</v>
      </c>
    </row>
    <row r="201" spans="1:7" x14ac:dyDescent="0.25">
      <c r="A201" s="6" t="s">
        <v>982</v>
      </c>
      <c r="B201" s="6" t="s">
        <v>983</v>
      </c>
      <c r="C201" s="160">
        <v>1984</v>
      </c>
      <c r="D201" s="160">
        <v>1651882.6745508299</v>
      </c>
      <c r="E201" s="161">
        <v>52600.070912364397</v>
      </c>
      <c r="F201" s="162">
        <v>99.992379695995993</v>
      </c>
      <c r="G201" s="163">
        <v>5.8646380474080897E-3</v>
      </c>
    </row>
    <row r="202" spans="1:7" x14ac:dyDescent="0.25">
      <c r="A202" s="11" t="s">
        <v>980</v>
      </c>
      <c r="B202" s="11" t="s">
        <v>981</v>
      </c>
      <c r="C202" s="164">
        <v>2</v>
      </c>
      <c r="D202" s="164">
        <v>87.055092392521701</v>
      </c>
      <c r="E202" s="165">
        <v>87.130404827761694</v>
      </c>
      <c r="F202" s="166">
        <v>5.2696514026639501E-3</v>
      </c>
      <c r="G202" s="167">
        <v>5.2967572655988797E-3</v>
      </c>
    </row>
    <row r="203" spans="1:7" x14ac:dyDescent="0.25">
      <c r="A203" s="6" t="s">
        <v>978</v>
      </c>
      <c r="B203" s="6" t="s">
        <v>1047</v>
      </c>
      <c r="C203" s="160">
        <v>2</v>
      </c>
      <c r="D203" s="160">
        <v>38.8329822510076</v>
      </c>
      <c r="E203" s="161">
        <v>38.992330780529798</v>
      </c>
      <c r="F203" s="162">
        <v>2.35065260129717E-3</v>
      </c>
      <c r="G203" s="163">
        <v>2.3644512446853502E-3</v>
      </c>
    </row>
    <row r="204" spans="1:7" x14ac:dyDescent="0.25">
      <c r="A204" s="11" t="s">
        <v>6293</v>
      </c>
      <c r="B204" s="11" t="s">
        <v>6294</v>
      </c>
      <c r="C204" s="164">
        <v>999</v>
      </c>
      <c r="D204" s="164">
        <v>810999.43737453094</v>
      </c>
      <c r="E204" s="165">
        <v>52554.800953552302</v>
      </c>
      <c r="F204" s="166">
        <v>32.927194608159198</v>
      </c>
      <c r="G204" s="167">
        <v>2.1337649310742202</v>
      </c>
    </row>
    <row r="205" spans="1:7" x14ac:dyDescent="0.25">
      <c r="A205" s="6" t="s">
        <v>6293</v>
      </c>
      <c r="B205" s="6" t="s">
        <v>6295</v>
      </c>
      <c r="C205" s="160">
        <v>2987</v>
      </c>
      <c r="D205" s="160">
        <v>2463008</v>
      </c>
      <c r="E205" s="161">
        <v>0</v>
      </c>
      <c r="F205" s="162">
        <v>100</v>
      </c>
      <c r="G205" s="163">
        <v>0</v>
      </c>
    </row>
    <row r="206" spans="1:7" x14ac:dyDescent="0.25">
      <c r="A206" s="3353" t="s">
        <v>440</v>
      </c>
      <c r="B206" s="3354"/>
      <c r="C206" s="3354"/>
      <c r="D206" s="3354"/>
      <c r="E206" s="3354"/>
      <c r="F206" s="3354"/>
      <c r="G206" s="3354"/>
    </row>
    <row r="207" spans="1:7" x14ac:dyDescent="0.25">
      <c r="A207" s="11" t="s">
        <v>6311</v>
      </c>
      <c r="B207" s="11"/>
      <c r="C207" s="172">
        <v>19</v>
      </c>
      <c r="D207" s="172">
        <v>43121.357389737699</v>
      </c>
      <c r="E207" s="173">
        <v>14707.244767975601</v>
      </c>
      <c r="F207" s="174">
        <v>23.137563289430901</v>
      </c>
      <c r="G207" s="175">
        <v>6.7926027210624804</v>
      </c>
    </row>
    <row r="208" spans="1:7" x14ac:dyDescent="0.25">
      <c r="A208" s="6" t="s">
        <v>6312</v>
      </c>
      <c r="B208" s="6"/>
      <c r="C208" s="168">
        <v>54</v>
      </c>
      <c r="D208" s="168">
        <v>40630.637896452899</v>
      </c>
      <c r="E208" s="169">
        <v>15491.279702882</v>
      </c>
      <c r="F208" s="170">
        <v>21.801121595556701</v>
      </c>
      <c r="G208" s="171">
        <v>7.3102770804390103</v>
      </c>
    </row>
    <row r="209" spans="1:7" x14ac:dyDescent="0.25">
      <c r="A209" s="11" t="s">
        <v>6313</v>
      </c>
      <c r="B209" s="11"/>
      <c r="C209" s="172">
        <v>23</v>
      </c>
      <c r="D209" s="172">
        <v>19357.0950518633</v>
      </c>
      <c r="E209" s="173">
        <v>8151.0047884181004</v>
      </c>
      <c r="F209" s="174">
        <v>10.3864080115577</v>
      </c>
      <c r="G209" s="175">
        <v>4.7367498392064604</v>
      </c>
    </row>
    <row r="210" spans="1:7" x14ac:dyDescent="0.25">
      <c r="A210" s="6" t="s">
        <v>6314</v>
      </c>
      <c r="B210" s="6"/>
      <c r="C210" s="168">
        <v>13</v>
      </c>
      <c r="D210" s="168">
        <v>9531.0150216348702</v>
      </c>
      <c r="E210" s="169">
        <v>4560.7559459329896</v>
      </c>
      <c r="F210" s="170">
        <v>5.1140427070154102</v>
      </c>
      <c r="G210" s="171">
        <v>2.2484242724888799</v>
      </c>
    </row>
    <row r="211" spans="1:7" x14ac:dyDescent="0.25">
      <c r="A211" s="11" t="s">
        <v>6315</v>
      </c>
      <c r="B211" s="11"/>
      <c r="C211" s="172">
        <v>4</v>
      </c>
      <c r="D211" s="172">
        <v>8570.0366609224693</v>
      </c>
      <c r="E211" s="173">
        <v>7550.99033684611</v>
      </c>
      <c r="F211" s="174">
        <v>4.5984119619116299</v>
      </c>
      <c r="G211" s="175">
        <v>4.1490774191856499</v>
      </c>
    </row>
    <row r="212" spans="1:7" x14ac:dyDescent="0.25">
      <c r="A212" s="6" t="s">
        <v>6316</v>
      </c>
      <c r="B212" s="6"/>
      <c r="C212" s="168">
        <v>3</v>
      </c>
      <c r="D212" s="168">
        <v>7420.5577034724502</v>
      </c>
      <c r="E212" s="169">
        <v>5406.4706535826699</v>
      </c>
      <c r="F212" s="170">
        <v>3.9816377289604601</v>
      </c>
      <c r="G212" s="171">
        <v>2.9677053505475302</v>
      </c>
    </row>
    <row r="213" spans="1:7" x14ac:dyDescent="0.25">
      <c r="A213" s="11" t="s">
        <v>6317</v>
      </c>
      <c r="B213" s="11"/>
      <c r="C213" s="172">
        <v>1</v>
      </c>
      <c r="D213" s="172">
        <v>7321.7226954016196</v>
      </c>
      <c r="E213" s="173">
        <v>7450.7144741235497</v>
      </c>
      <c r="F213" s="174">
        <v>3.9286059740975099</v>
      </c>
      <c r="G213" s="175">
        <v>3.9428360227706398</v>
      </c>
    </row>
    <row r="214" spans="1:7" x14ac:dyDescent="0.25">
      <c r="A214" s="6" t="s">
        <v>6318</v>
      </c>
      <c r="B214" s="6"/>
      <c r="C214" s="168">
        <v>6</v>
      </c>
      <c r="D214" s="168">
        <v>5138.5871112694904</v>
      </c>
      <c r="E214" s="169">
        <v>3415.2290870634502</v>
      </c>
      <c r="F214" s="170">
        <v>2.7572041258039501</v>
      </c>
      <c r="G214" s="171">
        <v>1.93366799113851</v>
      </c>
    </row>
    <row r="215" spans="1:7" x14ac:dyDescent="0.25">
      <c r="A215" s="11" t="s">
        <v>6319</v>
      </c>
      <c r="B215" s="11"/>
      <c r="C215" s="172">
        <v>14</v>
      </c>
      <c r="D215" s="172">
        <v>5015.8648037515704</v>
      </c>
      <c r="E215" s="173">
        <v>3711.3678187983201</v>
      </c>
      <c r="F215" s="174">
        <v>2.6913551978224599</v>
      </c>
      <c r="G215" s="175">
        <v>2.0554322550775201</v>
      </c>
    </row>
    <row r="216" spans="1:7" x14ac:dyDescent="0.25">
      <c r="A216" s="6" t="s">
        <v>6320</v>
      </c>
      <c r="B216" s="6"/>
      <c r="C216" s="168">
        <v>3</v>
      </c>
      <c r="D216" s="168">
        <v>4913.0345144943503</v>
      </c>
      <c r="E216" s="169">
        <v>3607.4200735992099</v>
      </c>
      <c r="F216" s="170">
        <v>2.6361797008116601</v>
      </c>
      <c r="G216" s="171">
        <v>1.7731309642092701</v>
      </c>
    </row>
    <row r="217" spans="1:7" x14ac:dyDescent="0.25">
      <c r="A217" s="11" t="s">
        <v>6321</v>
      </c>
      <c r="B217" s="11"/>
      <c r="C217" s="172">
        <v>8</v>
      </c>
      <c r="D217" s="172">
        <v>3619.6629627224002</v>
      </c>
      <c r="E217" s="173">
        <v>2564.89334676215</v>
      </c>
      <c r="F217" s="174">
        <v>1.94219723023677</v>
      </c>
      <c r="G217" s="175">
        <v>1.47780951089773</v>
      </c>
    </row>
    <row r="218" spans="1:7" x14ac:dyDescent="0.25">
      <c r="A218" s="6" t="s">
        <v>6322</v>
      </c>
      <c r="B218" s="6"/>
      <c r="C218" s="168">
        <v>4</v>
      </c>
      <c r="D218" s="168">
        <v>3489.4358995668799</v>
      </c>
      <c r="E218" s="169">
        <v>2845.95612939685</v>
      </c>
      <c r="F218" s="170">
        <v>1.87232148656469</v>
      </c>
      <c r="G218" s="171">
        <v>1.5521175105616201</v>
      </c>
    </row>
    <row r="219" spans="1:7" x14ac:dyDescent="0.25">
      <c r="A219" s="11" t="s">
        <v>6323</v>
      </c>
      <c r="B219" s="11"/>
      <c r="C219" s="172">
        <v>2</v>
      </c>
      <c r="D219" s="172">
        <v>2947.5758474934701</v>
      </c>
      <c r="E219" s="173">
        <v>2300.4301226419302</v>
      </c>
      <c r="F219" s="174">
        <v>1.5815764356715001</v>
      </c>
      <c r="G219" s="175">
        <v>1.27363678125947</v>
      </c>
    </row>
    <row r="220" spans="1:7" x14ac:dyDescent="0.25">
      <c r="A220" s="6" t="s">
        <v>6324</v>
      </c>
      <c r="B220" s="6"/>
      <c r="C220" s="168">
        <v>1</v>
      </c>
      <c r="D220" s="168">
        <v>2944.0516298411799</v>
      </c>
      <c r="E220" s="169">
        <v>3024.95644876188</v>
      </c>
      <c r="F220" s="170">
        <v>1.5796854513910501</v>
      </c>
      <c r="G220" s="171">
        <v>1.64315992743405</v>
      </c>
    </row>
    <row r="221" spans="1:7" x14ac:dyDescent="0.25">
      <c r="A221" s="11" t="s">
        <v>6325</v>
      </c>
      <c r="B221" s="11"/>
      <c r="C221" s="172">
        <v>1</v>
      </c>
      <c r="D221" s="172">
        <v>2345.1087094806198</v>
      </c>
      <c r="E221" s="173">
        <v>2350.3838867632899</v>
      </c>
      <c r="F221" s="174">
        <v>1.2583115298480001</v>
      </c>
      <c r="G221" s="175">
        <v>1.24578005662429</v>
      </c>
    </row>
    <row r="222" spans="1:7" x14ac:dyDescent="0.25">
      <c r="A222" s="6" t="s">
        <v>6326</v>
      </c>
      <c r="B222" s="6"/>
      <c r="C222" s="168">
        <v>1</v>
      </c>
      <c r="D222" s="168">
        <v>2222.7256596052098</v>
      </c>
      <c r="E222" s="169">
        <v>2282.5119716783702</v>
      </c>
      <c r="F222" s="170">
        <v>1.1926446368406001</v>
      </c>
      <c r="G222" s="171">
        <v>1.23138759549613</v>
      </c>
    </row>
    <row r="223" spans="1:7" x14ac:dyDescent="0.25">
      <c r="A223" s="11" t="s">
        <v>6327</v>
      </c>
      <c r="B223" s="11"/>
      <c r="C223" s="172">
        <v>1</v>
      </c>
      <c r="D223" s="172">
        <v>2009.1021377253801</v>
      </c>
      <c r="E223" s="173">
        <v>2097.0828342320101</v>
      </c>
      <c r="F223" s="174">
        <v>1.07802097801343</v>
      </c>
      <c r="G223" s="175">
        <v>1.1330204408428299</v>
      </c>
    </row>
    <row r="224" spans="1:7" x14ac:dyDescent="0.25">
      <c r="A224" s="6" t="s">
        <v>6328</v>
      </c>
      <c r="B224" s="6"/>
      <c r="C224" s="168">
        <v>1</v>
      </c>
      <c r="D224" s="168">
        <v>1788.72242347613</v>
      </c>
      <c r="E224" s="169">
        <v>1813.27714289348</v>
      </c>
      <c r="F224" s="170">
        <v>0.959772158987105</v>
      </c>
      <c r="G224" s="171">
        <v>0.99199283992523801</v>
      </c>
    </row>
    <row r="225" spans="1:7" x14ac:dyDescent="0.25">
      <c r="A225" s="11" t="s">
        <v>6329</v>
      </c>
      <c r="B225" s="11"/>
      <c r="C225" s="172">
        <v>4</v>
      </c>
      <c r="D225" s="172">
        <v>1471.41465822601</v>
      </c>
      <c r="E225" s="173">
        <v>1337.7934965772599</v>
      </c>
      <c r="F225" s="174">
        <v>0.78951479824711801</v>
      </c>
      <c r="G225" s="175">
        <v>0.71880132579531997</v>
      </c>
    </row>
    <row r="226" spans="1:7" x14ac:dyDescent="0.25">
      <c r="A226" s="6" t="s">
        <v>6330</v>
      </c>
      <c r="B226" s="6"/>
      <c r="C226" s="168">
        <v>1</v>
      </c>
      <c r="D226" s="168">
        <v>1452.40349948315</v>
      </c>
      <c r="E226" s="169">
        <v>1486.2091559201001</v>
      </c>
      <c r="F226" s="170">
        <v>0.77931400877189905</v>
      </c>
      <c r="G226" s="171">
        <v>0.79092545198796405</v>
      </c>
    </row>
    <row r="227" spans="1:7" x14ac:dyDescent="0.25">
      <c r="A227" s="11" t="s">
        <v>6331</v>
      </c>
      <c r="B227" s="11"/>
      <c r="C227" s="172">
        <v>1</v>
      </c>
      <c r="D227" s="172">
        <v>1204.8549307569799</v>
      </c>
      <c r="E227" s="173">
        <v>1256.6516185701801</v>
      </c>
      <c r="F227" s="174">
        <v>0.64648723747288395</v>
      </c>
      <c r="G227" s="175">
        <v>0.69452106620555198</v>
      </c>
    </row>
    <row r="228" spans="1:7" x14ac:dyDescent="0.25">
      <c r="A228" s="6" t="s">
        <v>6332</v>
      </c>
      <c r="B228" s="6"/>
      <c r="C228" s="168">
        <v>1</v>
      </c>
      <c r="D228" s="168">
        <v>1037.25483776494</v>
      </c>
      <c r="E228" s="169">
        <v>1078.47080837872</v>
      </c>
      <c r="F228" s="170">
        <v>0.55655830216899005</v>
      </c>
      <c r="G228" s="171">
        <v>0.58640673756117201</v>
      </c>
    </row>
    <row r="229" spans="1:7" x14ac:dyDescent="0.25">
      <c r="A229" s="11" t="s">
        <v>6333</v>
      </c>
      <c r="B229" s="11"/>
      <c r="C229" s="172">
        <v>1</v>
      </c>
      <c r="D229" s="172">
        <v>1029.43753199869</v>
      </c>
      <c r="E229" s="173">
        <v>1017.37174775773</v>
      </c>
      <c r="F229" s="174">
        <v>0.55236378191572699</v>
      </c>
      <c r="G229" s="175">
        <v>0.56757592849565397</v>
      </c>
    </row>
    <row r="230" spans="1:7" x14ac:dyDescent="0.25">
      <c r="A230" s="6" t="s">
        <v>6334</v>
      </c>
      <c r="B230" s="6"/>
      <c r="C230" s="168">
        <v>1</v>
      </c>
      <c r="D230" s="168">
        <v>974.01752178694596</v>
      </c>
      <c r="E230" s="169">
        <v>974.583888818172</v>
      </c>
      <c r="F230" s="170">
        <v>0.52262714857680803</v>
      </c>
      <c r="G230" s="171">
        <v>0.53092896717105398</v>
      </c>
    </row>
    <row r="231" spans="1:7" x14ac:dyDescent="0.25">
      <c r="A231" s="11" t="s">
        <v>6335</v>
      </c>
      <c r="B231" s="11"/>
      <c r="C231" s="172">
        <v>1</v>
      </c>
      <c r="D231" s="172">
        <v>720.66099721745502</v>
      </c>
      <c r="E231" s="173">
        <v>719.87665131263202</v>
      </c>
      <c r="F231" s="174">
        <v>0.38668401095628502</v>
      </c>
      <c r="G231" s="175">
        <v>0.40638284027472699</v>
      </c>
    </row>
    <row r="232" spans="1:7" x14ac:dyDescent="0.25">
      <c r="A232" s="6" t="s">
        <v>6336</v>
      </c>
      <c r="B232" s="6"/>
      <c r="C232" s="168">
        <v>2</v>
      </c>
      <c r="D232" s="168">
        <v>717.64926831933701</v>
      </c>
      <c r="E232" s="169">
        <v>751.09308923646904</v>
      </c>
      <c r="F232" s="170">
        <v>0.38506801201263002</v>
      </c>
      <c r="G232" s="171">
        <v>0.42020387596951803</v>
      </c>
    </row>
    <row r="233" spans="1:7" x14ac:dyDescent="0.25">
      <c r="A233" s="11" t="s">
        <v>6337</v>
      </c>
      <c r="B233" s="11"/>
      <c r="C233" s="172">
        <v>1</v>
      </c>
      <c r="D233" s="172">
        <v>676.27424252992796</v>
      </c>
      <c r="E233" s="173">
        <v>694.89059113763096</v>
      </c>
      <c r="F233" s="174">
        <v>0.36286747530058</v>
      </c>
      <c r="G233" s="175">
        <v>0.39389431874464698</v>
      </c>
    </row>
    <row r="234" spans="1:7" x14ac:dyDescent="0.25">
      <c r="A234" s="6" t="s">
        <v>6338</v>
      </c>
      <c r="B234" s="6"/>
      <c r="C234" s="168">
        <v>1</v>
      </c>
      <c r="D234" s="168">
        <v>652.52003181381599</v>
      </c>
      <c r="E234" s="169">
        <v>660.26825670513801</v>
      </c>
      <c r="F234" s="170">
        <v>0.35012171340660703</v>
      </c>
      <c r="G234" s="171">
        <v>0.36534637257289498</v>
      </c>
    </row>
    <row r="235" spans="1:7" x14ac:dyDescent="0.25">
      <c r="A235" s="11" t="s">
        <v>6339</v>
      </c>
      <c r="B235" s="11"/>
      <c r="C235" s="172">
        <v>1</v>
      </c>
      <c r="D235" s="172">
        <v>406.34642073916899</v>
      </c>
      <c r="E235" s="173">
        <v>406.62164521826799</v>
      </c>
      <c r="F235" s="174">
        <v>0.218032701111671</v>
      </c>
      <c r="G235" s="175">
        <v>0.22611268926942099</v>
      </c>
    </row>
    <row r="236" spans="1:7" x14ac:dyDescent="0.25">
      <c r="A236" s="6" t="s">
        <v>6340</v>
      </c>
      <c r="B236" s="6"/>
      <c r="C236" s="168">
        <v>1</v>
      </c>
      <c r="D236" s="168">
        <v>398.34743955560202</v>
      </c>
      <c r="E236" s="169">
        <v>414.84297219062699</v>
      </c>
      <c r="F236" s="170">
        <v>0.21374069954704</v>
      </c>
      <c r="G236" s="171">
        <v>0.233086776475942</v>
      </c>
    </row>
    <row r="237" spans="1:7" x14ac:dyDescent="0.25">
      <c r="A237" s="11" t="s">
        <v>6341</v>
      </c>
      <c r="B237" s="11"/>
      <c r="C237" s="172">
        <v>3</v>
      </c>
      <c r="D237" s="172">
        <v>298.80063716772003</v>
      </c>
      <c r="E237" s="173">
        <v>186.676825520682</v>
      </c>
      <c r="F237" s="174">
        <v>0.160327018254665</v>
      </c>
      <c r="G237" s="175">
        <v>9.0128412168597294E-2</v>
      </c>
    </row>
    <row r="238" spans="1:7" x14ac:dyDescent="0.25">
      <c r="A238" s="6" t="s">
        <v>6342</v>
      </c>
      <c r="B238" s="6"/>
      <c r="C238" s="168">
        <v>3</v>
      </c>
      <c r="D238" s="168">
        <v>229.32622746733699</v>
      </c>
      <c r="E238" s="169">
        <v>121.275997358463</v>
      </c>
      <c r="F238" s="170">
        <v>0.12304923646060099</v>
      </c>
      <c r="G238" s="171">
        <v>6.7592739713250097E-2</v>
      </c>
    </row>
    <row r="239" spans="1:7" x14ac:dyDescent="0.25">
      <c r="A239" s="11" t="s">
        <v>6343</v>
      </c>
      <c r="B239" s="11"/>
      <c r="C239" s="172">
        <v>1</v>
      </c>
      <c r="D239" s="172">
        <v>174.54443728944199</v>
      </c>
      <c r="E239" s="173">
        <v>178.004280565915</v>
      </c>
      <c r="F239" s="174">
        <v>9.3655051906220296E-2</v>
      </c>
      <c r="G239" s="175">
        <v>9.8489968659648597E-2</v>
      </c>
    </row>
    <row r="240" spans="1:7" x14ac:dyDescent="0.25">
      <c r="A240" s="6" t="s">
        <v>6344</v>
      </c>
      <c r="B240" s="6"/>
      <c r="C240" s="168">
        <v>2</v>
      </c>
      <c r="D240" s="168">
        <v>172.418414240716</v>
      </c>
      <c r="E240" s="169">
        <v>138.99024399185299</v>
      </c>
      <c r="F240" s="170">
        <v>9.2514294847018994E-2</v>
      </c>
      <c r="G240" s="171">
        <v>7.9654403052546702E-2</v>
      </c>
    </row>
    <row r="241" spans="1:7" x14ac:dyDescent="0.25">
      <c r="A241" s="11" t="s">
        <v>6345</v>
      </c>
      <c r="B241" s="11"/>
      <c r="C241" s="172">
        <v>1</v>
      </c>
      <c r="D241" s="172">
        <v>171.31056230761601</v>
      </c>
      <c r="E241" s="173">
        <v>171.422610101597</v>
      </c>
      <c r="F241" s="174">
        <v>9.1919856365276706E-2</v>
      </c>
      <c r="G241" s="175">
        <v>9.6685079914402394E-2</v>
      </c>
    </row>
    <row r="242" spans="1:7" x14ac:dyDescent="0.25">
      <c r="A242" s="6" t="s">
        <v>6346</v>
      </c>
      <c r="B242" s="6"/>
      <c r="C242" s="168">
        <v>1</v>
      </c>
      <c r="D242" s="168">
        <v>161.59550779214999</v>
      </c>
      <c r="E242" s="169">
        <v>166.99681051213199</v>
      </c>
      <c r="F242" s="170">
        <v>8.6707063857836802E-2</v>
      </c>
      <c r="G242" s="171">
        <v>9.3719072655277305E-2</v>
      </c>
    </row>
    <row r="243" spans="1:7" x14ac:dyDescent="0.25">
      <c r="A243" s="11" t="s">
        <v>6347</v>
      </c>
      <c r="B243" s="11"/>
      <c r="C243" s="172">
        <v>1</v>
      </c>
      <c r="D243" s="172">
        <v>151.24726268190801</v>
      </c>
      <c r="E243" s="173">
        <v>151.33403324390699</v>
      </c>
      <c r="F243" s="174">
        <v>8.11545212045819E-2</v>
      </c>
      <c r="G243" s="175">
        <v>8.3625356048913593E-2</v>
      </c>
    </row>
    <row r="244" spans="1:7" x14ac:dyDescent="0.25">
      <c r="A244" s="6" t="s">
        <v>6348</v>
      </c>
      <c r="B244" s="6"/>
      <c r="C244" s="168">
        <v>1</v>
      </c>
      <c r="D244" s="168">
        <v>133.461083989098</v>
      </c>
      <c r="E244" s="169">
        <v>135.93767336631601</v>
      </c>
      <c r="F244" s="170">
        <v>7.1611017472485605E-2</v>
      </c>
      <c r="G244" s="171">
        <v>7.5170956117470905E-2</v>
      </c>
    </row>
    <row r="245" spans="1:7" x14ac:dyDescent="0.25">
      <c r="A245" s="11" t="s">
        <v>6349</v>
      </c>
      <c r="B245" s="11"/>
      <c r="C245" s="172">
        <v>1</v>
      </c>
      <c r="D245" s="172">
        <v>133.44659517406899</v>
      </c>
      <c r="E245" s="173">
        <v>135.38734650585801</v>
      </c>
      <c r="F245" s="174">
        <v>7.1603243230323105E-2</v>
      </c>
      <c r="G245" s="175">
        <v>7.2391295415567006E-2</v>
      </c>
    </row>
    <row r="246" spans="1:7" x14ac:dyDescent="0.25">
      <c r="A246" s="6" t="s">
        <v>6350</v>
      </c>
      <c r="B246" s="6"/>
      <c r="C246" s="168">
        <v>1</v>
      </c>
      <c r="D246" s="168">
        <v>123.385179598627</v>
      </c>
      <c r="E246" s="169">
        <v>125.916344493824</v>
      </c>
      <c r="F246" s="170">
        <v>6.6204604278538706E-2</v>
      </c>
      <c r="G246" s="171">
        <v>6.9373295882538599E-2</v>
      </c>
    </row>
    <row r="247" spans="1:7" x14ac:dyDescent="0.25">
      <c r="A247" s="11" t="s">
        <v>6351</v>
      </c>
      <c r="B247" s="11"/>
      <c r="C247" s="172">
        <v>1</v>
      </c>
      <c r="D247" s="172">
        <v>123.311656216562</v>
      </c>
      <c r="E247" s="173">
        <v>126.148392992859</v>
      </c>
      <c r="F247" s="174">
        <v>6.6165153945600297E-2</v>
      </c>
      <c r="G247" s="175">
        <v>7.0694016650409794E-2</v>
      </c>
    </row>
    <row r="248" spans="1:7" x14ac:dyDescent="0.25">
      <c r="A248" s="6" t="s">
        <v>6352</v>
      </c>
      <c r="B248" s="6"/>
      <c r="C248" s="168">
        <v>2</v>
      </c>
      <c r="D248" s="168">
        <v>116.88782605567199</v>
      </c>
      <c r="E248" s="169">
        <v>119.29067139508</v>
      </c>
      <c r="F248" s="170">
        <v>6.2718328847661195E-2</v>
      </c>
      <c r="G248" s="171">
        <v>6.5131461082140393E-2</v>
      </c>
    </row>
    <row r="249" spans="1:7" x14ac:dyDescent="0.25">
      <c r="A249" s="11" t="s">
        <v>6353</v>
      </c>
      <c r="B249" s="11"/>
      <c r="C249" s="172">
        <v>1</v>
      </c>
      <c r="D249" s="172">
        <v>111.11228124064699</v>
      </c>
      <c r="E249" s="173">
        <v>112.927253297611</v>
      </c>
      <c r="F249" s="174">
        <v>5.9619353263919803E-2</v>
      </c>
      <c r="G249" s="175">
        <v>6.4181027496866105E-2</v>
      </c>
    </row>
    <row r="250" spans="1:7" x14ac:dyDescent="0.25">
      <c r="A250" s="6" t="s">
        <v>6354</v>
      </c>
      <c r="B250" s="6"/>
      <c r="C250" s="168">
        <v>1</v>
      </c>
      <c r="D250" s="168">
        <v>107.866750825336</v>
      </c>
      <c r="E250" s="169">
        <v>112.08605482431901</v>
      </c>
      <c r="F250" s="170">
        <v>5.787790378418E-2</v>
      </c>
      <c r="G250" s="171">
        <v>6.2811700457662795E-2</v>
      </c>
    </row>
    <row r="251" spans="1:7" x14ac:dyDescent="0.25">
      <c r="A251" s="11" t="s">
        <v>6355</v>
      </c>
      <c r="B251" s="11"/>
      <c r="C251" s="172">
        <v>1</v>
      </c>
      <c r="D251" s="172">
        <v>101.39906886689199</v>
      </c>
      <c r="E251" s="173">
        <v>107.40730361049999</v>
      </c>
      <c r="F251" s="174">
        <v>5.4407549191747298E-2</v>
      </c>
      <c r="G251" s="175">
        <v>6.13585226530401E-2</v>
      </c>
    </row>
    <row r="252" spans="1:7" x14ac:dyDescent="0.25">
      <c r="A252" s="6" t="s">
        <v>6356</v>
      </c>
      <c r="B252" s="6"/>
      <c r="C252" s="168">
        <v>1</v>
      </c>
      <c r="D252" s="168">
        <v>97.130596321857695</v>
      </c>
      <c r="E252" s="169">
        <v>96.521884728574904</v>
      </c>
      <c r="F252" s="170">
        <v>5.2117221158533997E-2</v>
      </c>
      <c r="G252" s="171">
        <v>5.1608802120243297E-2</v>
      </c>
    </row>
    <row r="253" spans="1:7" x14ac:dyDescent="0.25">
      <c r="A253" s="11" t="s">
        <v>6357</v>
      </c>
      <c r="B253" s="11"/>
      <c r="C253" s="172">
        <v>1</v>
      </c>
      <c r="D253" s="172">
        <v>89.373470618719793</v>
      </c>
      <c r="E253" s="173">
        <v>97.272429172241004</v>
      </c>
      <c r="F253" s="174">
        <v>4.7954991633191203E-2</v>
      </c>
      <c r="G253" s="175">
        <v>5.2314854846744301E-2</v>
      </c>
    </row>
    <row r="254" spans="1:7" x14ac:dyDescent="0.25">
      <c r="A254" s="6" t="s">
        <v>85</v>
      </c>
      <c r="B254" s="6"/>
      <c r="C254" s="168">
        <v>1</v>
      </c>
      <c r="D254" s="168">
        <v>78.970147023307902</v>
      </c>
      <c r="E254" s="169">
        <v>82.401805446780699</v>
      </c>
      <c r="F254" s="170">
        <v>4.2372895598186598E-2</v>
      </c>
      <c r="G254" s="171">
        <v>4.6419448498195598E-2</v>
      </c>
    </row>
    <row r="255" spans="1:7" x14ac:dyDescent="0.25">
      <c r="A255" s="11" t="s">
        <v>6358</v>
      </c>
      <c r="B255" s="11"/>
      <c r="C255" s="172">
        <v>1</v>
      </c>
      <c r="D255" s="172">
        <v>77.2400745935375</v>
      </c>
      <c r="E255" s="173">
        <v>75.786817654424596</v>
      </c>
      <c r="F255" s="174">
        <v>4.1444593180029403E-2</v>
      </c>
      <c r="G255" s="175">
        <v>4.1767759055312902E-2</v>
      </c>
    </row>
    <row r="256" spans="1:7" x14ac:dyDescent="0.25">
      <c r="A256" s="6" t="s">
        <v>6359</v>
      </c>
      <c r="B256" s="6"/>
      <c r="C256" s="168">
        <v>4</v>
      </c>
      <c r="D256" s="168">
        <v>73.661090596422895</v>
      </c>
      <c r="E256" s="169">
        <v>51.581184811943601</v>
      </c>
      <c r="F256" s="170">
        <v>3.9524223002517199E-2</v>
      </c>
      <c r="G256" s="171">
        <v>2.6124150223463399E-2</v>
      </c>
    </row>
    <row r="257" spans="1:7" x14ac:dyDescent="0.25">
      <c r="A257" s="11" t="s">
        <v>6360</v>
      </c>
      <c r="B257" s="11"/>
      <c r="C257" s="172">
        <v>1</v>
      </c>
      <c r="D257" s="172">
        <v>71.726508638004404</v>
      </c>
      <c r="E257" s="173">
        <v>72.978874965902705</v>
      </c>
      <c r="F257" s="174">
        <v>3.84861872074716E-2</v>
      </c>
      <c r="G257" s="175">
        <v>4.0816317097712003E-2</v>
      </c>
    </row>
    <row r="258" spans="1:7" x14ac:dyDescent="0.25">
      <c r="A258" s="6" t="s">
        <v>6361</v>
      </c>
      <c r="B258" s="6"/>
      <c r="C258" s="168">
        <v>1</v>
      </c>
      <c r="D258" s="168">
        <v>69.511154430706</v>
      </c>
      <c r="E258" s="169">
        <v>70.929420275564098</v>
      </c>
      <c r="F258" s="170">
        <v>3.7297497859949597E-2</v>
      </c>
      <c r="G258" s="171">
        <v>3.9691610996951898E-2</v>
      </c>
    </row>
    <row r="259" spans="1:7" x14ac:dyDescent="0.25">
      <c r="A259" s="11" t="s">
        <v>6362</v>
      </c>
      <c r="B259" s="11"/>
      <c r="C259" s="172">
        <v>1</v>
      </c>
      <c r="D259" s="172">
        <v>69.511154430706</v>
      </c>
      <c r="E259" s="173">
        <v>70.409548202491195</v>
      </c>
      <c r="F259" s="174">
        <v>3.7297497859949597E-2</v>
      </c>
      <c r="G259" s="175">
        <v>3.9520300373498997E-2</v>
      </c>
    </row>
    <row r="260" spans="1:7" x14ac:dyDescent="0.25">
      <c r="A260" s="6" t="s">
        <v>6363</v>
      </c>
      <c r="B260" s="6"/>
      <c r="C260" s="168">
        <v>1</v>
      </c>
      <c r="D260" s="168">
        <v>64.976383608324994</v>
      </c>
      <c r="E260" s="169">
        <v>65.623884987491195</v>
      </c>
      <c r="F260" s="170">
        <v>3.4864282551869401E-2</v>
      </c>
      <c r="G260" s="171">
        <v>3.7004058025768199E-2</v>
      </c>
    </row>
    <row r="261" spans="1:7" x14ac:dyDescent="0.25">
      <c r="A261" s="11" t="s">
        <v>6364</v>
      </c>
      <c r="B261" s="11"/>
      <c r="C261" s="172">
        <v>1</v>
      </c>
      <c r="D261" s="172">
        <v>60.990890365090799</v>
      </c>
      <c r="E261" s="173">
        <v>61.910325735332897</v>
      </c>
      <c r="F261" s="174">
        <v>3.27257923062707E-2</v>
      </c>
      <c r="G261" s="175">
        <v>3.3841374411558697E-2</v>
      </c>
    </row>
    <row r="262" spans="1:7" x14ac:dyDescent="0.25">
      <c r="A262" s="6" t="s">
        <v>6365</v>
      </c>
      <c r="B262" s="6"/>
      <c r="C262" s="168">
        <v>1</v>
      </c>
      <c r="D262" s="168">
        <v>54.584292905416099</v>
      </c>
      <c r="E262" s="169">
        <v>55.848860534719897</v>
      </c>
      <c r="F262" s="170">
        <v>2.9288213733467999E-2</v>
      </c>
      <c r="G262" s="171">
        <v>3.1401685191699301E-2</v>
      </c>
    </row>
    <row r="263" spans="1:7" x14ac:dyDescent="0.25">
      <c r="A263" s="11" t="s">
        <v>6366</v>
      </c>
      <c r="B263" s="11"/>
      <c r="C263" s="172">
        <v>1</v>
      </c>
      <c r="D263" s="172">
        <v>50.398286483307203</v>
      </c>
      <c r="E263" s="173">
        <v>51.377247477909002</v>
      </c>
      <c r="F263" s="174">
        <v>2.7042134426498901E-2</v>
      </c>
      <c r="G263" s="175">
        <v>2.9000050728796099E-2</v>
      </c>
    </row>
    <row r="264" spans="1:7" x14ac:dyDescent="0.25">
      <c r="A264" s="6" t="s">
        <v>6367</v>
      </c>
      <c r="B264" s="6"/>
      <c r="C264" s="168">
        <v>1</v>
      </c>
      <c r="D264" s="168">
        <v>36.983982352754303</v>
      </c>
      <c r="E264" s="169">
        <v>38.181007376813902</v>
      </c>
      <c r="F264" s="170">
        <v>1.9844440995860101E-2</v>
      </c>
      <c r="G264" s="171">
        <v>2.1012994657924201E-2</v>
      </c>
    </row>
    <row r="265" spans="1:7" x14ac:dyDescent="0.25">
      <c r="A265" s="11" t="s">
        <v>6368</v>
      </c>
      <c r="B265" s="11"/>
      <c r="C265" s="172">
        <v>1</v>
      </c>
      <c r="D265" s="172">
        <v>36.837310630828902</v>
      </c>
      <c r="E265" s="173">
        <v>37.842976257047198</v>
      </c>
      <c r="F265" s="174">
        <v>1.9765741565827201E-2</v>
      </c>
      <c r="G265" s="175">
        <v>2.1068343706897901E-2</v>
      </c>
    </row>
    <row r="266" spans="1:7" x14ac:dyDescent="0.25">
      <c r="A266" s="6" t="s">
        <v>982</v>
      </c>
      <c r="B266" s="6" t="s">
        <v>983</v>
      </c>
      <c r="C266" s="168">
        <v>2758</v>
      </c>
      <c r="D266" s="168">
        <v>2274297.8193488899</v>
      </c>
      <c r="E266" s="169">
        <v>26112.796956681901</v>
      </c>
      <c r="F266" s="170">
        <v>99.897186298923302</v>
      </c>
      <c r="G266" s="171">
        <v>5.41221961282327E-2</v>
      </c>
    </row>
    <row r="267" spans="1:7" x14ac:dyDescent="0.25">
      <c r="A267" s="11" t="s">
        <v>996</v>
      </c>
      <c r="B267" s="11" t="s">
        <v>997</v>
      </c>
      <c r="C267" s="172">
        <v>11</v>
      </c>
      <c r="D267" s="172">
        <v>2340.6963180941798</v>
      </c>
      <c r="E267" s="173">
        <v>1233.8851976235301</v>
      </c>
      <c r="F267" s="174">
        <v>0.102813701076669</v>
      </c>
      <c r="G267" s="175">
        <v>5.4122196128233602E-2</v>
      </c>
    </row>
    <row r="268" spans="1:7" x14ac:dyDescent="0.25">
      <c r="A268" s="6" t="s">
        <v>6293</v>
      </c>
      <c r="B268" s="6" t="s">
        <v>6294</v>
      </c>
      <c r="C268" s="168">
        <v>213</v>
      </c>
      <c r="D268" s="168">
        <v>186369.484333017</v>
      </c>
      <c r="E268" s="169">
        <v>26081.909474390399</v>
      </c>
      <c r="F268" s="170">
        <v>7.5667429554843899</v>
      </c>
      <c r="G268" s="171">
        <v>1.05894538200406</v>
      </c>
    </row>
    <row r="269" spans="1:7" x14ac:dyDescent="0.25">
      <c r="A269" s="11" t="s">
        <v>6293</v>
      </c>
      <c r="B269" s="11" t="s">
        <v>6295</v>
      </c>
      <c r="C269" s="172">
        <v>2982</v>
      </c>
      <c r="D269" s="172">
        <v>2463008</v>
      </c>
      <c r="E269" s="173">
        <v>0</v>
      </c>
      <c r="F269" s="174">
        <v>100</v>
      </c>
      <c r="G269" s="175">
        <v>0</v>
      </c>
    </row>
    <row r="270" spans="1:7" x14ac:dyDescent="0.25">
      <c r="A270" s="3353" t="s">
        <v>851</v>
      </c>
      <c r="B270" s="3354"/>
      <c r="C270" s="3354"/>
      <c r="D270" s="3354"/>
      <c r="E270" s="3354"/>
      <c r="F270" s="3354"/>
      <c r="G270" s="3354"/>
    </row>
    <row r="271" spans="1:7" x14ac:dyDescent="0.25">
      <c r="A271" s="11" t="s">
        <v>992</v>
      </c>
      <c r="B271" s="11" t="s">
        <v>1046</v>
      </c>
      <c r="C271" s="180">
        <v>737</v>
      </c>
      <c r="D271" s="180">
        <v>602838.28087025101</v>
      </c>
      <c r="E271" s="181">
        <v>32090.852838353901</v>
      </c>
      <c r="F271" s="182">
        <v>26.4898725012198</v>
      </c>
      <c r="G271" s="183">
        <v>1.4820180207926099</v>
      </c>
    </row>
    <row r="272" spans="1:7" x14ac:dyDescent="0.25">
      <c r="A272" s="6" t="s">
        <v>990</v>
      </c>
      <c r="B272" s="6" t="s">
        <v>1045</v>
      </c>
      <c r="C272" s="176">
        <v>506</v>
      </c>
      <c r="D272" s="176">
        <v>472044.36162411101</v>
      </c>
      <c r="E272" s="177">
        <v>31877.3284868724</v>
      </c>
      <c r="F272" s="178">
        <v>20.742536350364499</v>
      </c>
      <c r="G272" s="179">
        <v>1.2737497559519</v>
      </c>
    </row>
    <row r="273" spans="1:7" x14ac:dyDescent="0.25">
      <c r="A273" s="11" t="s">
        <v>986</v>
      </c>
      <c r="B273" s="11" t="s">
        <v>1064</v>
      </c>
      <c r="C273" s="180">
        <v>491</v>
      </c>
      <c r="D273" s="180">
        <v>412747.83345257503</v>
      </c>
      <c r="E273" s="181">
        <v>47078.9017410784</v>
      </c>
      <c r="F273" s="182">
        <v>18.136932955766799</v>
      </c>
      <c r="G273" s="183">
        <v>2.0487363521456299</v>
      </c>
    </row>
    <row r="274" spans="1:7" x14ac:dyDescent="0.25">
      <c r="A274" s="6" t="s">
        <v>984</v>
      </c>
      <c r="B274" s="6" t="s">
        <v>1042</v>
      </c>
      <c r="C274" s="176">
        <v>537</v>
      </c>
      <c r="D274" s="176">
        <v>403933.58501306101</v>
      </c>
      <c r="E274" s="177">
        <v>24482.523731206798</v>
      </c>
      <c r="F274" s="178">
        <v>17.7496179414983</v>
      </c>
      <c r="G274" s="179">
        <v>1.1359717096734701</v>
      </c>
    </row>
    <row r="275" spans="1:7" x14ac:dyDescent="0.25">
      <c r="A275" s="11" t="s">
        <v>988</v>
      </c>
      <c r="B275" s="11" t="s">
        <v>1044</v>
      </c>
      <c r="C275" s="180">
        <v>434</v>
      </c>
      <c r="D275" s="180">
        <v>384167.09192679398</v>
      </c>
      <c r="E275" s="181">
        <v>44138.812697371199</v>
      </c>
      <c r="F275" s="182">
        <v>16.881040251150601</v>
      </c>
      <c r="G275" s="183">
        <v>1.8898187297461799</v>
      </c>
    </row>
    <row r="276" spans="1:7" x14ac:dyDescent="0.25">
      <c r="A276" s="6" t="s">
        <v>982</v>
      </c>
      <c r="B276" s="6" t="s">
        <v>983</v>
      </c>
      <c r="C276" s="176">
        <v>282</v>
      </c>
      <c r="D276" s="176">
        <v>187276.84711320899</v>
      </c>
      <c r="E276" s="177">
        <v>28390.9501161505</v>
      </c>
      <c r="F276" s="178">
        <v>100</v>
      </c>
      <c r="G276" s="179">
        <v>0</v>
      </c>
    </row>
    <row r="277" spans="1:7" x14ac:dyDescent="0.25">
      <c r="A277" s="11" t="s">
        <v>6293</v>
      </c>
      <c r="B277" s="11" t="s">
        <v>6294</v>
      </c>
      <c r="C277" s="180">
        <v>2705</v>
      </c>
      <c r="D277" s="180">
        <v>2275731.1528867902</v>
      </c>
      <c r="E277" s="181">
        <v>28390.950116149401</v>
      </c>
      <c r="F277" s="182">
        <v>92.396417424823298</v>
      </c>
      <c r="G277" s="183">
        <v>1.1526941900371599</v>
      </c>
    </row>
    <row r="278" spans="1:7" x14ac:dyDescent="0.25">
      <c r="A278" s="6" t="s">
        <v>6293</v>
      </c>
      <c r="B278" s="6" t="s">
        <v>6295</v>
      </c>
      <c r="C278" s="176">
        <v>2987</v>
      </c>
      <c r="D278" s="176">
        <v>2463008</v>
      </c>
      <c r="E278" s="177">
        <v>0</v>
      </c>
      <c r="F278" s="178">
        <v>100</v>
      </c>
      <c r="G278" s="179">
        <v>0</v>
      </c>
    </row>
    <row r="279" spans="1:7" x14ac:dyDescent="0.25">
      <c r="A279" s="3353" t="s">
        <v>46</v>
      </c>
      <c r="B279" s="3354"/>
      <c r="C279" s="3354"/>
      <c r="D279" s="3354"/>
      <c r="E279" s="3354"/>
      <c r="F279" s="3354"/>
      <c r="G279" s="3354"/>
    </row>
    <row r="280" spans="1:7" x14ac:dyDescent="0.25">
      <c r="A280" s="11" t="s">
        <v>992</v>
      </c>
      <c r="B280" s="11" t="s">
        <v>1046</v>
      </c>
      <c r="C280" s="188">
        <v>1839</v>
      </c>
      <c r="D280" s="188">
        <v>1421261.11672871</v>
      </c>
      <c r="E280" s="189">
        <v>45638.041100476999</v>
      </c>
      <c r="F280" s="190">
        <v>64.493317346621694</v>
      </c>
      <c r="G280" s="191">
        <v>1.90613203981621</v>
      </c>
    </row>
    <row r="281" spans="1:7" x14ac:dyDescent="0.25">
      <c r="A281" s="6" t="s">
        <v>990</v>
      </c>
      <c r="B281" s="6" t="s">
        <v>1045</v>
      </c>
      <c r="C281" s="184">
        <v>380</v>
      </c>
      <c r="D281" s="184">
        <v>386913.58666027797</v>
      </c>
      <c r="E281" s="185">
        <v>34089.388101299497</v>
      </c>
      <c r="F281" s="186">
        <v>17.557182446273799</v>
      </c>
      <c r="G281" s="187">
        <v>1.52106553928989</v>
      </c>
    </row>
    <row r="282" spans="1:7" x14ac:dyDescent="0.25">
      <c r="A282" s="11" t="s">
        <v>988</v>
      </c>
      <c r="B282" s="11" t="s">
        <v>1044</v>
      </c>
      <c r="C282" s="188">
        <v>167</v>
      </c>
      <c r="D282" s="188">
        <v>167176.943758785</v>
      </c>
      <c r="E282" s="189">
        <v>32932.235980657097</v>
      </c>
      <c r="F282" s="190">
        <v>7.5860765906900198</v>
      </c>
      <c r="G282" s="191">
        <v>1.4808949189378999</v>
      </c>
    </row>
    <row r="283" spans="1:7" x14ac:dyDescent="0.25">
      <c r="A283" s="6" t="s">
        <v>986</v>
      </c>
      <c r="B283" s="6" t="s">
        <v>1043</v>
      </c>
      <c r="C283" s="184">
        <v>164</v>
      </c>
      <c r="D283" s="184">
        <v>152432.845223955</v>
      </c>
      <c r="E283" s="185">
        <v>17967.912586763399</v>
      </c>
      <c r="F283" s="186">
        <v>6.9170258338626702</v>
      </c>
      <c r="G283" s="187">
        <v>0.82654484456121602</v>
      </c>
    </row>
    <row r="284" spans="1:7" x14ac:dyDescent="0.25">
      <c r="A284" s="11" t="s">
        <v>984</v>
      </c>
      <c r="B284" s="11" t="s">
        <v>1042</v>
      </c>
      <c r="C284" s="188">
        <v>61</v>
      </c>
      <c r="D284" s="188">
        <v>75949.437285031003</v>
      </c>
      <c r="E284" s="189">
        <v>18683.445406568</v>
      </c>
      <c r="F284" s="190">
        <v>3.44639778255174</v>
      </c>
      <c r="G284" s="191">
        <v>0.84866764862807498</v>
      </c>
    </row>
    <row r="285" spans="1:7" x14ac:dyDescent="0.25">
      <c r="A285" s="6" t="s">
        <v>982</v>
      </c>
      <c r="B285" s="6" t="s">
        <v>983</v>
      </c>
      <c r="C285" s="184">
        <v>376</v>
      </c>
      <c r="D285" s="184">
        <v>259274.07034323801</v>
      </c>
      <c r="E285" s="185">
        <v>27118.693022789801</v>
      </c>
      <c r="F285" s="186">
        <v>100</v>
      </c>
      <c r="G285" s="187">
        <v>0</v>
      </c>
    </row>
    <row r="286" spans="1:7" x14ac:dyDescent="0.25">
      <c r="A286" s="11" t="s">
        <v>6293</v>
      </c>
      <c r="B286" s="11" t="s">
        <v>6294</v>
      </c>
      <c r="C286" s="188">
        <v>2611</v>
      </c>
      <c r="D286" s="188">
        <v>2203733.9296567598</v>
      </c>
      <c r="E286" s="189">
        <v>27118.693022786301</v>
      </c>
      <c r="F286" s="190">
        <v>89.473275346923799</v>
      </c>
      <c r="G286" s="191">
        <v>1.1010395834195099</v>
      </c>
    </row>
    <row r="287" spans="1:7" x14ac:dyDescent="0.25">
      <c r="A287" s="6" t="s">
        <v>6293</v>
      </c>
      <c r="B287" s="6" t="s">
        <v>6295</v>
      </c>
      <c r="C287" s="184">
        <v>2987</v>
      </c>
      <c r="D287" s="184">
        <v>2463008</v>
      </c>
      <c r="E287" s="185">
        <v>0</v>
      </c>
      <c r="F287" s="186">
        <v>100</v>
      </c>
      <c r="G287" s="187">
        <v>0</v>
      </c>
    </row>
    <row r="288" spans="1:7" x14ac:dyDescent="0.25">
      <c r="A288" s="3353" t="s">
        <v>85</v>
      </c>
      <c r="B288" s="3354"/>
      <c r="C288" s="3354"/>
      <c r="D288" s="3354"/>
      <c r="E288" s="3354"/>
      <c r="F288" s="3354"/>
      <c r="G288" s="3354"/>
    </row>
    <row r="289" spans="1:7" x14ac:dyDescent="0.25">
      <c r="A289" s="11" t="s">
        <v>984</v>
      </c>
      <c r="B289" s="11" t="s">
        <v>1042</v>
      </c>
      <c r="C289" s="196">
        <v>2185</v>
      </c>
      <c r="D289" s="196">
        <v>1893067.94870311</v>
      </c>
      <c r="E289" s="197">
        <v>27804.321391593399</v>
      </c>
      <c r="F289" s="198">
        <v>78.773727003473596</v>
      </c>
      <c r="G289" s="199">
        <v>1.1660382994105101</v>
      </c>
    </row>
    <row r="290" spans="1:7" x14ac:dyDescent="0.25">
      <c r="A290" s="6" t="s">
        <v>986</v>
      </c>
      <c r="B290" s="6" t="s">
        <v>1064</v>
      </c>
      <c r="C290" s="192">
        <v>592</v>
      </c>
      <c r="D290" s="192">
        <v>306251.62951897201</v>
      </c>
      <c r="E290" s="193">
        <v>23732.454975048298</v>
      </c>
      <c r="F290" s="194">
        <v>12.743643076638399</v>
      </c>
      <c r="G290" s="195">
        <v>0.99908473059089697</v>
      </c>
    </row>
    <row r="291" spans="1:7" x14ac:dyDescent="0.25">
      <c r="A291" s="11" t="s">
        <v>992</v>
      </c>
      <c r="B291" s="11" t="s">
        <v>1046</v>
      </c>
      <c r="C291" s="196">
        <v>60</v>
      </c>
      <c r="D291" s="196">
        <v>122225.07131961201</v>
      </c>
      <c r="E291" s="197">
        <v>15728.0908749511</v>
      </c>
      <c r="F291" s="198">
        <v>5.0859898651325199</v>
      </c>
      <c r="G291" s="199">
        <v>0.64242511973532401</v>
      </c>
    </row>
    <row r="292" spans="1:7" x14ac:dyDescent="0.25">
      <c r="A292" s="6" t="s">
        <v>988</v>
      </c>
      <c r="B292" s="6" t="s">
        <v>1044</v>
      </c>
      <c r="C292" s="192">
        <v>81</v>
      </c>
      <c r="D292" s="192">
        <v>75033.2994335697</v>
      </c>
      <c r="E292" s="193">
        <v>16331.061262253799</v>
      </c>
      <c r="F292" s="194">
        <v>3.12226122142058</v>
      </c>
      <c r="G292" s="195">
        <v>0.66769882800742697</v>
      </c>
    </row>
    <row r="293" spans="1:7" x14ac:dyDescent="0.25">
      <c r="A293" s="11" t="s">
        <v>990</v>
      </c>
      <c r="B293" s="11" t="s">
        <v>1045</v>
      </c>
      <c r="C293" s="196">
        <v>13</v>
      </c>
      <c r="D293" s="196">
        <v>6593.7945930373799</v>
      </c>
      <c r="E293" s="197">
        <v>2953.7826540379201</v>
      </c>
      <c r="F293" s="198">
        <v>0.27437883333492902</v>
      </c>
      <c r="G293" s="199">
        <v>0.12209647324723601</v>
      </c>
    </row>
    <row r="294" spans="1:7" x14ac:dyDescent="0.25">
      <c r="A294" s="6" t="s">
        <v>982</v>
      </c>
      <c r="B294" s="6" t="s">
        <v>983</v>
      </c>
      <c r="C294" s="192">
        <v>56</v>
      </c>
      <c r="D294" s="192">
        <v>59836.256431701797</v>
      </c>
      <c r="E294" s="193">
        <v>18565.674335342901</v>
      </c>
      <c r="F294" s="194">
        <v>100</v>
      </c>
      <c r="G294" s="195">
        <v>0</v>
      </c>
    </row>
    <row r="295" spans="1:7" x14ac:dyDescent="0.25">
      <c r="A295" s="11" t="s">
        <v>6293</v>
      </c>
      <c r="B295" s="11" t="s">
        <v>6294</v>
      </c>
      <c r="C295" s="196">
        <v>2931</v>
      </c>
      <c r="D295" s="196">
        <v>2403171.7435682998</v>
      </c>
      <c r="E295" s="197">
        <v>18565.674335342501</v>
      </c>
      <c r="F295" s="198">
        <v>97.570602432809693</v>
      </c>
      <c r="G295" s="199">
        <v>0.75378051290709402</v>
      </c>
    </row>
    <row r="296" spans="1:7" x14ac:dyDescent="0.25">
      <c r="A296" s="6" t="s">
        <v>6293</v>
      </c>
      <c r="B296" s="6" t="s">
        <v>6295</v>
      </c>
      <c r="C296" s="192">
        <v>2987</v>
      </c>
      <c r="D296" s="192">
        <v>2463008</v>
      </c>
      <c r="E296" s="193">
        <v>0</v>
      </c>
      <c r="F296" s="194">
        <v>100</v>
      </c>
      <c r="G296" s="195">
        <v>0</v>
      </c>
    </row>
    <row r="297" spans="1:7" x14ac:dyDescent="0.25">
      <c r="A297" s="3353" t="s">
        <v>642</v>
      </c>
      <c r="B297" s="3354"/>
      <c r="C297" s="3354"/>
      <c r="D297" s="3354"/>
      <c r="E297" s="3354"/>
      <c r="F297" s="3354"/>
      <c r="G297" s="3354"/>
    </row>
    <row r="298" spans="1:7" x14ac:dyDescent="0.25">
      <c r="A298" s="11" t="s">
        <v>992</v>
      </c>
      <c r="B298" s="11" t="s">
        <v>5998</v>
      </c>
      <c r="C298" s="204">
        <v>1920</v>
      </c>
      <c r="D298" s="204">
        <v>1403298.9774090501</v>
      </c>
      <c r="E298" s="205">
        <v>46249.778497972497</v>
      </c>
      <c r="F298" s="206">
        <v>62.123642581600201</v>
      </c>
      <c r="G298" s="207">
        <v>1.84700645009812</v>
      </c>
    </row>
    <row r="299" spans="1:7" x14ac:dyDescent="0.25">
      <c r="A299" s="6" t="s">
        <v>990</v>
      </c>
      <c r="B299" s="6" t="s">
        <v>1045</v>
      </c>
      <c r="C299" s="200">
        <v>590</v>
      </c>
      <c r="D299" s="200">
        <v>617092.98512002104</v>
      </c>
      <c r="E299" s="201">
        <v>33704.914587299201</v>
      </c>
      <c r="F299" s="202">
        <v>27.318529169022799</v>
      </c>
      <c r="G299" s="203">
        <v>1.37789939338403</v>
      </c>
    </row>
    <row r="300" spans="1:7" x14ac:dyDescent="0.25">
      <c r="A300" s="11" t="s">
        <v>988</v>
      </c>
      <c r="B300" s="11" t="s">
        <v>1044</v>
      </c>
      <c r="C300" s="204">
        <v>111</v>
      </c>
      <c r="D300" s="204">
        <v>198491.353782191</v>
      </c>
      <c r="E300" s="205">
        <v>33794.063063468202</v>
      </c>
      <c r="F300" s="206">
        <v>8.7871552081295796</v>
      </c>
      <c r="G300" s="207">
        <v>1.50759260291409</v>
      </c>
    </row>
    <row r="301" spans="1:7" x14ac:dyDescent="0.25">
      <c r="A301" s="6" t="s">
        <v>986</v>
      </c>
      <c r="B301" s="6" t="s">
        <v>1043</v>
      </c>
      <c r="C301" s="200">
        <v>24</v>
      </c>
      <c r="D301" s="200">
        <v>35485.535842163998</v>
      </c>
      <c r="E301" s="201">
        <v>12325.3127424014</v>
      </c>
      <c r="F301" s="202">
        <v>1.5709344772311999</v>
      </c>
      <c r="G301" s="203">
        <v>0.547979713967509</v>
      </c>
    </row>
    <row r="302" spans="1:7" x14ac:dyDescent="0.25">
      <c r="A302" s="11" t="s">
        <v>984</v>
      </c>
      <c r="B302" s="11" t="s">
        <v>1042</v>
      </c>
      <c r="C302" s="204">
        <v>8</v>
      </c>
      <c r="D302" s="204">
        <v>4511.85588908314</v>
      </c>
      <c r="E302" s="205">
        <v>3301.85024934995</v>
      </c>
      <c r="F302" s="206">
        <v>0.19973856401620299</v>
      </c>
      <c r="G302" s="207">
        <v>0.14639403692509101</v>
      </c>
    </row>
    <row r="303" spans="1:7" x14ac:dyDescent="0.25">
      <c r="A303" s="6" t="s">
        <v>982</v>
      </c>
      <c r="B303" s="6" t="s">
        <v>983</v>
      </c>
      <c r="C303" s="200">
        <v>334</v>
      </c>
      <c r="D303" s="200">
        <v>204127.291957498</v>
      </c>
      <c r="E303" s="201">
        <v>29879.707603376999</v>
      </c>
      <c r="F303" s="202">
        <v>100</v>
      </c>
      <c r="G303" s="203">
        <v>0</v>
      </c>
    </row>
    <row r="304" spans="1:7" x14ac:dyDescent="0.25">
      <c r="A304" s="11" t="s">
        <v>6293</v>
      </c>
      <c r="B304" s="11" t="s">
        <v>6294</v>
      </c>
      <c r="C304" s="204">
        <v>2653</v>
      </c>
      <c r="D304" s="204">
        <v>2258880.7080425099</v>
      </c>
      <c r="E304" s="205">
        <v>29879.707603373001</v>
      </c>
      <c r="F304" s="206">
        <v>91.712276535135203</v>
      </c>
      <c r="G304" s="207">
        <v>1.21313887747732</v>
      </c>
    </row>
    <row r="305" spans="1:7" x14ac:dyDescent="0.25">
      <c r="A305" s="6" t="s">
        <v>6293</v>
      </c>
      <c r="B305" s="6" t="s">
        <v>6295</v>
      </c>
      <c r="C305" s="200">
        <v>2987</v>
      </c>
      <c r="D305" s="200">
        <v>2463008</v>
      </c>
      <c r="E305" s="201">
        <v>0</v>
      </c>
      <c r="F305" s="202">
        <v>100</v>
      </c>
      <c r="G305" s="203">
        <v>0</v>
      </c>
    </row>
    <row r="306" spans="1:7" x14ac:dyDescent="0.25">
      <c r="A306" s="3353" t="s">
        <v>82</v>
      </c>
      <c r="B306" s="3354"/>
      <c r="C306" s="3354"/>
      <c r="D306" s="3354"/>
      <c r="E306" s="3354"/>
      <c r="F306" s="3354"/>
      <c r="G306" s="3354"/>
    </row>
    <row r="307" spans="1:7" x14ac:dyDescent="0.25">
      <c r="A307" s="11" t="s">
        <v>992</v>
      </c>
      <c r="B307" s="11" t="s">
        <v>1046</v>
      </c>
      <c r="C307" s="212">
        <v>2258</v>
      </c>
      <c r="D307" s="212">
        <v>1764878.1013367099</v>
      </c>
      <c r="E307" s="213">
        <v>31694.741034775001</v>
      </c>
      <c r="F307" s="214">
        <v>78.605036571034304</v>
      </c>
      <c r="G307" s="215">
        <v>1.5819813850315301</v>
      </c>
    </row>
    <row r="308" spans="1:7" x14ac:dyDescent="0.25">
      <c r="A308" s="6" t="s">
        <v>990</v>
      </c>
      <c r="B308" s="6" t="s">
        <v>1045</v>
      </c>
      <c r="C308" s="208">
        <v>278</v>
      </c>
      <c r="D308" s="208">
        <v>280468.417057249</v>
      </c>
      <c r="E308" s="209">
        <v>33539.110368783702</v>
      </c>
      <c r="F308" s="210">
        <v>12.491644699488001</v>
      </c>
      <c r="G308" s="211">
        <v>1.4292713741254399</v>
      </c>
    </row>
    <row r="309" spans="1:7" x14ac:dyDescent="0.25">
      <c r="A309" s="11" t="s">
        <v>984</v>
      </c>
      <c r="B309" s="11" t="s">
        <v>1063</v>
      </c>
      <c r="C309" s="212">
        <v>28</v>
      </c>
      <c r="D309" s="212">
        <v>88067.480826918196</v>
      </c>
      <c r="E309" s="213">
        <v>21830.180528525601</v>
      </c>
      <c r="F309" s="214">
        <v>3.9223941562171598</v>
      </c>
      <c r="G309" s="215">
        <v>0.97841313438936806</v>
      </c>
    </row>
    <row r="310" spans="1:7" x14ac:dyDescent="0.25">
      <c r="A310" s="6" t="s">
        <v>988</v>
      </c>
      <c r="B310" s="6" t="s">
        <v>1044</v>
      </c>
      <c r="C310" s="208">
        <v>48</v>
      </c>
      <c r="D310" s="208">
        <v>62252.058100480303</v>
      </c>
      <c r="E310" s="209">
        <v>12852.1752961435</v>
      </c>
      <c r="F310" s="210">
        <v>2.77261375723582</v>
      </c>
      <c r="G310" s="211">
        <v>0.54675223721278199</v>
      </c>
    </row>
    <row r="311" spans="1:7" x14ac:dyDescent="0.25">
      <c r="A311" s="11" t="s">
        <v>986</v>
      </c>
      <c r="B311" s="11" t="s">
        <v>1043</v>
      </c>
      <c r="C311" s="212">
        <v>34</v>
      </c>
      <c r="D311" s="212">
        <v>49582.056954138403</v>
      </c>
      <c r="E311" s="213">
        <v>9487.0261866767505</v>
      </c>
      <c r="F311" s="214">
        <v>2.20831081602479</v>
      </c>
      <c r="G311" s="215">
        <v>0.41719568205081398</v>
      </c>
    </row>
    <row r="312" spans="1:7" x14ac:dyDescent="0.25">
      <c r="A312" s="6" t="s">
        <v>982</v>
      </c>
      <c r="B312" s="6" t="s">
        <v>983</v>
      </c>
      <c r="C312" s="208">
        <v>341</v>
      </c>
      <c r="D312" s="208">
        <v>217759.88572450401</v>
      </c>
      <c r="E312" s="209">
        <v>28960.222635569698</v>
      </c>
      <c r="F312" s="210">
        <v>100</v>
      </c>
      <c r="G312" s="211">
        <v>0</v>
      </c>
    </row>
    <row r="313" spans="1:7" x14ac:dyDescent="0.25">
      <c r="A313" s="11" t="s">
        <v>6293</v>
      </c>
      <c r="B313" s="11" t="s">
        <v>6294</v>
      </c>
      <c r="C313" s="212">
        <v>2646</v>
      </c>
      <c r="D313" s="212">
        <v>2245248.1142755002</v>
      </c>
      <c r="E313" s="213">
        <v>28960.222635568</v>
      </c>
      <c r="F313" s="214">
        <v>91.158782849081106</v>
      </c>
      <c r="G313" s="215">
        <v>1.17580708773863</v>
      </c>
    </row>
    <row r="314" spans="1:7" x14ac:dyDescent="0.25">
      <c r="A314" s="6" t="s">
        <v>6293</v>
      </c>
      <c r="B314" s="6" t="s">
        <v>6295</v>
      </c>
      <c r="C314" s="208">
        <v>2987</v>
      </c>
      <c r="D314" s="208">
        <v>2463008</v>
      </c>
      <c r="E314" s="209">
        <v>0</v>
      </c>
      <c r="F314" s="210">
        <v>100</v>
      </c>
      <c r="G314" s="211">
        <v>0</v>
      </c>
    </row>
    <row r="315" spans="1:7" x14ac:dyDescent="0.25">
      <c r="A315" s="3353" t="s">
        <v>714</v>
      </c>
      <c r="B315" s="3354"/>
      <c r="C315" s="3354"/>
      <c r="D315" s="3354"/>
      <c r="E315" s="3354"/>
      <c r="F315" s="3354"/>
      <c r="G315" s="3354"/>
    </row>
    <row r="316" spans="1:7" x14ac:dyDescent="0.25">
      <c r="A316" s="11" t="s">
        <v>992</v>
      </c>
      <c r="B316" s="11" t="s">
        <v>5998</v>
      </c>
      <c r="C316" s="220">
        <v>2326</v>
      </c>
      <c r="D316" s="220">
        <v>1827653.598729</v>
      </c>
      <c r="E316" s="221">
        <v>42097.378549775203</v>
      </c>
      <c r="F316" s="222">
        <v>81.519883871703101</v>
      </c>
      <c r="G316" s="223">
        <v>1.29646822491154</v>
      </c>
    </row>
    <row r="317" spans="1:7" x14ac:dyDescent="0.25">
      <c r="A317" s="6" t="s">
        <v>990</v>
      </c>
      <c r="B317" s="6" t="s">
        <v>1045</v>
      </c>
      <c r="C317" s="216">
        <v>278</v>
      </c>
      <c r="D317" s="216">
        <v>319194.250747165</v>
      </c>
      <c r="E317" s="217">
        <v>32741.424777286102</v>
      </c>
      <c r="F317" s="218">
        <v>14.237204616629599</v>
      </c>
      <c r="G317" s="219">
        <v>1.47090830118937</v>
      </c>
    </row>
    <row r="318" spans="1:7" x14ac:dyDescent="0.25">
      <c r="A318" s="11" t="s">
        <v>988</v>
      </c>
      <c r="B318" s="11" t="s">
        <v>1044</v>
      </c>
      <c r="C318" s="220">
        <v>24</v>
      </c>
      <c r="D318" s="220">
        <v>59424.238746753399</v>
      </c>
      <c r="E318" s="221">
        <v>11968.947223475599</v>
      </c>
      <c r="F318" s="222">
        <v>2.6505334737220001</v>
      </c>
      <c r="G318" s="223">
        <v>0.53559238150870303</v>
      </c>
    </row>
    <row r="319" spans="1:7" x14ac:dyDescent="0.25">
      <c r="A319" s="6" t="s">
        <v>984</v>
      </c>
      <c r="B319" s="6" t="s">
        <v>1042</v>
      </c>
      <c r="C319" s="216">
        <v>5</v>
      </c>
      <c r="D319" s="216">
        <v>24986.3588808206</v>
      </c>
      <c r="E319" s="217">
        <v>13243.8250627992</v>
      </c>
      <c r="F319" s="218">
        <v>1.11448092557457</v>
      </c>
      <c r="G319" s="219">
        <v>0.59278955459476501</v>
      </c>
    </row>
    <row r="320" spans="1:7" x14ac:dyDescent="0.25">
      <c r="A320" s="11" t="s">
        <v>986</v>
      </c>
      <c r="B320" s="11" t="s">
        <v>1064</v>
      </c>
      <c r="C320" s="220">
        <v>4</v>
      </c>
      <c r="D320" s="220">
        <v>10714.3231290811</v>
      </c>
      <c r="E320" s="221">
        <v>7569.54351971904</v>
      </c>
      <c r="F320" s="222">
        <v>0.477897112370748</v>
      </c>
      <c r="G320" s="223">
        <v>0.33657014000892399</v>
      </c>
    </row>
    <row r="321" spans="1:7" x14ac:dyDescent="0.25">
      <c r="A321" s="6" t="s">
        <v>982</v>
      </c>
      <c r="B321" s="6" t="s">
        <v>983</v>
      </c>
      <c r="C321" s="216">
        <v>350</v>
      </c>
      <c r="D321" s="216">
        <v>221035.22976718101</v>
      </c>
      <c r="E321" s="217">
        <v>29946.706737128501</v>
      </c>
      <c r="F321" s="218">
        <v>100</v>
      </c>
      <c r="G321" s="219">
        <v>0</v>
      </c>
    </row>
    <row r="322" spans="1:7" x14ac:dyDescent="0.25">
      <c r="A322" s="11" t="s">
        <v>6293</v>
      </c>
      <c r="B322" s="11" t="s">
        <v>6294</v>
      </c>
      <c r="C322" s="220">
        <v>2637</v>
      </c>
      <c r="D322" s="220">
        <v>2241972.77023282</v>
      </c>
      <c r="E322" s="221">
        <v>29946.706737125001</v>
      </c>
      <c r="F322" s="222">
        <v>91.025801387280097</v>
      </c>
      <c r="G322" s="223">
        <v>1.21585909331713</v>
      </c>
    </row>
    <row r="323" spans="1:7" x14ac:dyDescent="0.25">
      <c r="A323" s="6" t="s">
        <v>6293</v>
      </c>
      <c r="B323" s="6" t="s">
        <v>6295</v>
      </c>
      <c r="C323" s="216">
        <v>2987</v>
      </c>
      <c r="D323" s="216">
        <v>2463008</v>
      </c>
      <c r="E323" s="217">
        <v>0</v>
      </c>
      <c r="F323" s="218">
        <v>100</v>
      </c>
      <c r="G323" s="219">
        <v>0</v>
      </c>
    </row>
    <row r="324" spans="1:7" x14ac:dyDescent="0.25">
      <c r="A324" s="3353" t="s">
        <v>485</v>
      </c>
      <c r="B324" s="3354"/>
      <c r="C324" s="3354"/>
      <c r="D324" s="3354"/>
      <c r="E324" s="3354"/>
      <c r="F324" s="3354"/>
      <c r="G324" s="3354"/>
    </row>
    <row r="325" spans="1:7" x14ac:dyDescent="0.25">
      <c r="A325" s="11" t="s">
        <v>992</v>
      </c>
      <c r="B325" s="11" t="s">
        <v>5998</v>
      </c>
      <c r="C325" s="228">
        <v>2550</v>
      </c>
      <c r="D325" s="228">
        <v>2094647.54931029</v>
      </c>
      <c r="E325" s="229">
        <v>34121.454836232799</v>
      </c>
      <c r="F325" s="230">
        <v>95.377993813789104</v>
      </c>
      <c r="G325" s="231">
        <v>0.824872891151612</v>
      </c>
    </row>
    <row r="326" spans="1:7" x14ac:dyDescent="0.25">
      <c r="A326" s="6" t="s">
        <v>990</v>
      </c>
      <c r="B326" s="6" t="s">
        <v>1045</v>
      </c>
      <c r="C326" s="224">
        <v>42</v>
      </c>
      <c r="D326" s="224">
        <v>73413.911418887204</v>
      </c>
      <c r="E326" s="225">
        <v>22331.530665324401</v>
      </c>
      <c r="F326" s="226">
        <v>3.34283998826545</v>
      </c>
      <c r="G326" s="227">
        <v>0.98876486513239503</v>
      </c>
    </row>
    <row r="327" spans="1:7" x14ac:dyDescent="0.25">
      <c r="A327" s="11" t="s">
        <v>988</v>
      </c>
      <c r="B327" s="11" t="s">
        <v>1044</v>
      </c>
      <c r="C327" s="228">
        <v>6</v>
      </c>
      <c r="D327" s="228">
        <v>11230.0720463084</v>
      </c>
      <c r="E327" s="229">
        <v>8759.6487148593606</v>
      </c>
      <c r="F327" s="230">
        <v>0.51135177491501704</v>
      </c>
      <c r="G327" s="231">
        <v>0.397723467869605</v>
      </c>
    </row>
    <row r="328" spans="1:7" x14ac:dyDescent="0.25">
      <c r="A328" s="6" t="s">
        <v>984</v>
      </c>
      <c r="B328" s="6" t="s">
        <v>1042</v>
      </c>
      <c r="C328" s="224">
        <v>2</v>
      </c>
      <c r="D328" s="224">
        <v>8991.84429749841</v>
      </c>
      <c r="E328" s="225">
        <v>6764.6467956506403</v>
      </c>
      <c r="F328" s="226">
        <v>0.40943597888998001</v>
      </c>
      <c r="G328" s="227">
        <v>0.30932709235540001</v>
      </c>
    </row>
    <row r="329" spans="1:7" x14ac:dyDescent="0.25">
      <c r="A329" s="11" t="s">
        <v>986</v>
      </c>
      <c r="B329" s="11" t="s">
        <v>1064</v>
      </c>
      <c r="C329" s="228">
        <v>5</v>
      </c>
      <c r="D329" s="228">
        <v>7870.5422469893401</v>
      </c>
      <c r="E329" s="229">
        <v>7462.4423156844796</v>
      </c>
      <c r="F329" s="230">
        <v>0.35837844414049003</v>
      </c>
      <c r="G329" s="231">
        <v>0.33966882520624803</v>
      </c>
    </row>
    <row r="330" spans="1:7" x14ac:dyDescent="0.25">
      <c r="A330" s="6" t="s">
        <v>982</v>
      </c>
      <c r="B330" s="6" t="s">
        <v>983</v>
      </c>
      <c r="C330" s="224">
        <v>382</v>
      </c>
      <c r="D330" s="224">
        <v>266854.08068002597</v>
      </c>
      <c r="E330" s="225">
        <v>36649.942883379001</v>
      </c>
      <c r="F330" s="226">
        <v>100</v>
      </c>
      <c r="G330" s="227">
        <v>0</v>
      </c>
    </row>
    <row r="331" spans="1:7" x14ac:dyDescent="0.25">
      <c r="A331" s="11" t="s">
        <v>6293</v>
      </c>
      <c r="B331" s="11" t="s">
        <v>6294</v>
      </c>
      <c r="C331" s="228">
        <v>2605</v>
      </c>
      <c r="D331" s="228">
        <v>2196153.9193199798</v>
      </c>
      <c r="E331" s="229">
        <v>36649.942883377502</v>
      </c>
      <c r="F331" s="230">
        <v>89.165521156243699</v>
      </c>
      <c r="G331" s="231">
        <v>1.48801558433341</v>
      </c>
    </row>
    <row r="332" spans="1:7" x14ac:dyDescent="0.25">
      <c r="A332" s="6" t="s">
        <v>6293</v>
      </c>
      <c r="B332" s="6" t="s">
        <v>6295</v>
      </c>
      <c r="C332" s="224">
        <v>2987</v>
      </c>
      <c r="D332" s="224">
        <v>2463008</v>
      </c>
      <c r="E332" s="225">
        <v>0</v>
      </c>
      <c r="F332" s="226">
        <v>100</v>
      </c>
      <c r="G332" s="227">
        <v>0</v>
      </c>
    </row>
    <row r="333" spans="1:7" x14ac:dyDescent="0.25">
      <c r="A333" s="3353" t="s">
        <v>504</v>
      </c>
      <c r="B333" s="3354"/>
      <c r="C333" s="3354"/>
      <c r="D333" s="3354"/>
      <c r="E333" s="3354"/>
      <c r="F333" s="3354"/>
      <c r="G333" s="3354"/>
    </row>
    <row r="334" spans="1:7" x14ac:dyDescent="0.25">
      <c r="A334" s="11" t="s">
        <v>986</v>
      </c>
      <c r="B334" s="11" t="s">
        <v>1049</v>
      </c>
      <c r="C334" s="236">
        <v>873</v>
      </c>
      <c r="D334" s="236">
        <v>746133.91334671201</v>
      </c>
      <c r="E334" s="237">
        <v>51983.319501186299</v>
      </c>
      <c r="F334" s="238">
        <v>30.496224391669902</v>
      </c>
      <c r="G334" s="239">
        <v>2.0826891906486198</v>
      </c>
    </row>
    <row r="335" spans="1:7" x14ac:dyDescent="0.25">
      <c r="A335" s="6" t="s">
        <v>988</v>
      </c>
      <c r="B335" s="6" t="s">
        <v>1050</v>
      </c>
      <c r="C335" s="232">
        <v>691</v>
      </c>
      <c r="D335" s="232">
        <v>500574.125727306</v>
      </c>
      <c r="E335" s="233">
        <v>27744.451507142301</v>
      </c>
      <c r="F335" s="234">
        <v>20.459626066816099</v>
      </c>
      <c r="G335" s="235">
        <v>1.1071429219366</v>
      </c>
    </row>
    <row r="336" spans="1:7" x14ac:dyDescent="0.25">
      <c r="A336" s="11" t="s">
        <v>990</v>
      </c>
      <c r="B336" s="11" t="s">
        <v>1051</v>
      </c>
      <c r="C336" s="236">
        <v>543</v>
      </c>
      <c r="D336" s="236">
        <v>469266.70205066801</v>
      </c>
      <c r="E336" s="237">
        <v>41283.626629860701</v>
      </c>
      <c r="F336" s="238">
        <v>19.180019014396599</v>
      </c>
      <c r="G336" s="239">
        <v>1.6933695061426699</v>
      </c>
    </row>
    <row r="337" spans="1:7" x14ac:dyDescent="0.25">
      <c r="A337" s="6" t="s">
        <v>984</v>
      </c>
      <c r="B337" s="6" t="s">
        <v>1048</v>
      </c>
      <c r="C337" s="232">
        <v>550</v>
      </c>
      <c r="D337" s="232">
        <v>453295.66707981302</v>
      </c>
      <c r="E337" s="233">
        <v>50254.841947528002</v>
      </c>
      <c r="F337" s="234">
        <v>18.527245755433199</v>
      </c>
      <c r="G337" s="235">
        <v>2.05786913630992</v>
      </c>
    </row>
    <row r="338" spans="1:7" x14ac:dyDescent="0.25">
      <c r="A338" s="11" t="s">
        <v>992</v>
      </c>
      <c r="B338" s="11" t="s">
        <v>1052</v>
      </c>
      <c r="C338" s="236">
        <v>315</v>
      </c>
      <c r="D338" s="236">
        <v>277373.16236983199</v>
      </c>
      <c r="E338" s="237">
        <v>28737.702005745199</v>
      </c>
      <c r="F338" s="238">
        <v>11.336884771684201</v>
      </c>
      <c r="G338" s="239">
        <v>1.1997450827746099</v>
      </c>
    </row>
    <row r="339" spans="1:7" x14ac:dyDescent="0.25">
      <c r="A339" s="6" t="s">
        <v>982</v>
      </c>
      <c r="B339" s="6" t="s">
        <v>983</v>
      </c>
      <c r="C339" s="232">
        <v>15</v>
      </c>
      <c r="D339" s="232">
        <v>16364.4294256678</v>
      </c>
      <c r="E339" s="233">
        <v>8943.6244917083404</v>
      </c>
      <c r="F339" s="234">
        <v>100</v>
      </c>
      <c r="G339" s="235">
        <v>0</v>
      </c>
    </row>
    <row r="340" spans="1:7" x14ac:dyDescent="0.25">
      <c r="A340" s="11" t="s">
        <v>6293</v>
      </c>
      <c r="B340" s="11" t="s">
        <v>6294</v>
      </c>
      <c r="C340" s="236">
        <v>2972</v>
      </c>
      <c r="D340" s="236">
        <v>2446643.5705743302</v>
      </c>
      <c r="E340" s="237">
        <v>8943.6244917081403</v>
      </c>
      <c r="F340" s="238">
        <v>99.335591706333602</v>
      </c>
      <c r="G340" s="239">
        <v>0.36311796355140902</v>
      </c>
    </row>
    <row r="341" spans="1:7" x14ac:dyDescent="0.25">
      <c r="A341" s="6" t="s">
        <v>6293</v>
      </c>
      <c r="B341" s="6" t="s">
        <v>6295</v>
      </c>
      <c r="C341" s="232">
        <v>2987</v>
      </c>
      <c r="D341" s="232">
        <v>2463008</v>
      </c>
      <c r="E341" s="233">
        <v>0</v>
      </c>
      <c r="F341" s="234">
        <v>100</v>
      </c>
      <c r="G341" s="235">
        <v>0</v>
      </c>
    </row>
    <row r="342" spans="1:7" x14ac:dyDescent="0.25">
      <c r="A342" s="3353" t="s">
        <v>501</v>
      </c>
      <c r="B342" s="3354"/>
      <c r="C342" s="3354"/>
      <c r="D342" s="3354"/>
      <c r="E342" s="3354"/>
      <c r="F342" s="3354"/>
      <c r="G342" s="3354"/>
    </row>
    <row r="343" spans="1:7" x14ac:dyDescent="0.25">
      <c r="A343" s="11" t="s">
        <v>988</v>
      </c>
      <c r="B343" s="11" t="s">
        <v>1050</v>
      </c>
      <c r="C343" s="244">
        <v>1045</v>
      </c>
      <c r="D343" s="244">
        <v>792507.14378660102</v>
      </c>
      <c r="E343" s="245">
        <v>71497.763913123694</v>
      </c>
      <c r="F343" s="246">
        <v>32.907601305269097</v>
      </c>
      <c r="G343" s="247">
        <v>2.8712779595210201</v>
      </c>
    </row>
    <row r="344" spans="1:7" x14ac:dyDescent="0.25">
      <c r="A344" s="6" t="s">
        <v>986</v>
      </c>
      <c r="B344" s="6" t="s">
        <v>1049</v>
      </c>
      <c r="C344" s="240">
        <v>814</v>
      </c>
      <c r="D344" s="240">
        <v>689475.07794316905</v>
      </c>
      <c r="E344" s="241">
        <v>39551.097362499997</v>
      </c>
      <c r="F344" s="242">
        <v>28.629358300122298</v>
      </c>
      <c r="G344" s="243">
        <v>1.6002207581974499</v>
      </c>
    </row>
    <row r="345" spans="1:7" x14ac:dyDescent="0.25">
      <c r="A345" s="11" t="s">
        <v>990</v>
      </c>
      <c r="B345" s="11" t="s">
        <v>1051</v>
      </c>
      <c r="C345" s="244">
        <v>568</v>
      </c>
      <c r="D345" s="244">
        <v>537827.47364450397</v>
      </c>
      <c r="E345" s="245">
        <v>52332.319998563798</v>
      </c>
      <c r="F345" s="246">
        <v>22.332432221556299</v>
      </c>
      <c r="G345" s="247">
        <v>2.21042263370295</v>
      </c>
    </row>
    <row r="346" spans="1:7" x14ac:dyDescent="0.25">
      <c r="A346" s="6" t="s">
        <v>984</v>
      </c>
      <c r="B346" s="6" t="s">
        <v>1048</v>
      </c>
      <c r="C346" s="240">
        <v>277</v>
      </c>
      <c r="D346" s="240">
        <v>220990.59490816001</v>
      </c>
      <c r="E346" s="241">
        <v>28968.211438411101</v>
      </c>
      <c r="F346" s="242">
        <v>9.1762837047815502</v>
      </c>
      <c r="G346" s="243">
        <v>1.2269177195735099</v>
      </c>
    </row>
    <row r="347" spans="1:7" x14ac:dyDescent="0.25">
      <c r="A347" s="11" t="s">
        <v>992</v>
      </c>
      <c r="B347" s="11" t="s">
        <v>1052</v>
      </c>
      <c r="C347" s="244">
        <v>207</v>
      </c>
      <c r="D347" s="244">
        <v>167479.59750053199</v>
      </c>
      <c r="E347" s="245">
        <v>28379.837702551202</v>
      </c>
      <c r="F347" s="246">
        <v>6.95432446827067</v>
      </c>
      <c r="G347" s="247">
        <v>1.18934141157091</v>
      </c>
    </row>
    <row r="348" spans="1:7" x14ac:dyDescent="0.25">
      <c r="A348" s="6" t="s">
        <v>982</v>
      </c>
      <c r="B348" s="6" t="s">
        <v>983</v>
      </c>
      <c r="C348" s="240">
        <v>76</v>
      </c>
      <c r="D348" s="240">
        <v>54728.112217033202</v>
      </c>
      <c r="E348" s="241">
        <v>17541.8126620892</v>
      </c>
      <c r="F348" s="242">
        <v>100</v>
      </c>
      <c r="G348" s="243">
        <v>0</v>
      </c>
    </row>
    <row r="349" spans="1:7" x14ac:dyDescent="0.25">
      <c r="A349" s="11" t="s">
        <v>6293</v>
      </c>
      <c r="B349" s="11" t="s">
        <v>6294</v>
      </c>
      <c r="C349" s="244">
        <v>2911</v>
      </c>
      <c r="D349" s="244">
        <v>2408279.88778297</v>
      </c>
      <c r="E349" s="245">
        <v>17541.812662087901</v>
      </c>
      <c r="F349" s="246">
        <v>97.777996976987794</v>
      </c>
      <c r="G349" s="247">
        <v>0.71221094946054297</v>
      </c>
    </row>
    <row r="350" spans="1:7" x14ac:dyDescent="0.25">
      <c r="A350" s="6" t="s">
        <v>6293</v>
      </c>
      <c r="B350" s="6" t="s">
        <v>6295</v>
      </c>
      <c r="C350" s="240">
        <v>2987</v>
      </c>
      <c r="D350" s="240">
        <v>2463008</v>
      </c>
      <c r="E350" s="241">
        <v>0</v>
      </c>
      <c r="F350" s="242">
        <v>100</v>
      </c>
      <c r="G350" s="243">
        <v>0</v>
      </c>
    </row>
    <row r="351" spans="1:7" x14ac:dyDescent="0.25">
      <c r="A351" s="3353" t="s">
        <v>854</v>
      </c>
      <c r="B351" s="3354"/>
      <c r="C351" s="3354"/>
      <c r="D351" s="3354"/>
      <c r="E351" s="3354"/>
      <c r="F351" s="3354"/>
      <c r="G351" s="3354"/>
    </row>
    <row r="352" spans="1:7" x14ac:dyDescent="0.25">
      <c r="A352" s="11" t="s">
        <v>990</v>
      </c>
      <c r="B352" s="11" t="s">
        <v>1051</v>
      </c>
      <c r="C352" s="252">
        <v>942</v>
      </c>
      <c r="D352" s="252">
        <v>795862.67367504898</v>
      </c>
      <c r="E352" s="253">
        <v>42511.139075622901</v>
      </c>
      <c r="F352" s="254">
        <v>33.288635335588502</v>
      </c>
      <c r="G352" s="255">
        <v>1.8002439699394199</v>
      </c>
    </row>
    <row r="353" spans="1:7" x14ac:dyDescent="0.25">
      <c r="A353" s="6" t="s">
        <v>992</v>
      </c>
      <c r="B353" s="6" t="s">
        <v>1052</v>
      </c>
      <c r="C353" s="248">
        <v>919</v>
      </c>
      <c r="D353" s="248">
        <v>719540.04574051499</v>
      </c>
      <c r="E353" s="249">
        <v>44435.977862132597</v>
      </c>
      <c r="F353" s="250">
        <v>30.096280406522201</v>
      </c>
      <c r="G353" s="251">
        <v>1.8048943197671801</v>
      </c>
    </row>
    <row r="354" spans="1:7" x14ac:dyDescent="0.25">
      <c r="A354" s="11" t="s">
        <v>988</v>
      </c>
      <c r="B354" s="11" t="s">
        <v>6144</v>
      </c>
      <c r="C354" s="252">
        <v>603</v>
      </c>
      <c r="D354" s="252">
        <v>482264.70126572502</v>
      </c>
      <c r="E354" s="253">
        <v>32105.9365394134</v>
      </c>
      <c r="F354" s="254">
        <v>20.171738550734101</v>
      </c>
      <c r="G354" s="255">
        <v>1.34751798033877</v>
      </c>
    </row>
    <row r="355" spans="1:7" x14ac:dyDescent="0.25">
      <c r="A355" s="6" t="s">
        <v>986</v>
      </c>
      <c r="B355" s="6" t="s">
        <v>1049</v>
      </c>
      <c r="C355" s="248">
        <v>306</v>
      </c>
      <c r="D355" s="248">
        <v>274799.14849613298</v>
      </c>
      <c r="E355" s="249">
        <v>30577.974254020999</v>
      </c>
      <c r="F355" s="250">
        <v>11.4940541218962</v>
      </c>
      <c r="G355" s="251">
        <v>1.2824115823615201</v>
      </c>
    </row>
    <row r="356" spans="1:7" x14ac:dyDescent="0.25">
      <c r="A356" s="11" t="s">
        <v>984</v>
      </c>
      <c r="B356" s="11" t="s">
        <v>1048</v>
      </c>
      <c r="C356" s="252">
        <v>102</v>
      </c>
      <c r="D356" s="252">
        <v>118327.362901254</v>
      </c>
      <c r="E356" s="253">
        <v>19620.3008228611</v>
      </c>
      <c r="F356" s="254">
        <v>4.9492915852590604</v>
      </c>
      <c r="G356" s="255">
        <v>0.81904346985008003</v>
      </c>
    </row>
    <row r="357" spans="1:7" x14ac:dyDescent="0.25">
      <c r="A357" s="6" t="s">
        <v>982</v>
      </c>
      <c r="B357" s="6" t="s">
        <v>983</v>
      </c>
      <c r="C357" s="248">
        <v>114</v>
      </c>
      <c r="D357" s="248">
        <v>72214.067921321403</v>
      </c>
      <c r="E357" s="249">
        <v>14588.480179055799</v>
      </c>
      <c r="F357" s="250">
        <v>100</v>
      </c>
      <c r="G357" s="251">
        <v>0</v>
      </c>
    </row>
    <row r="358" spans="1:7" x14ac:dyDescent="0.25">
      <c r="A358" s="11" t="s">
        <v>6293</v>
      </c>
      <c r="B358" s="11" t="s">
        <v>6294</v>
      </c>
      <c r="C358" s="252">
        <v>2872</v>
      </c>
      <c r="D358" s="252">
        <v>2390793.93207868</v>
      </c>
      <c r="E358" s="253">
        <v>14588.480179054901</v>
      </c>
      <c r="F358" s="254">
        <v>97.068053862540395</v>
      </c>
      <c r="G358" s="255">
        <v>0.59230340214306398</v>
      </c>
    </row>
    <row r="359" spans="1:7" x14ac:dyDescent="0.25">
      <c r="A359" s="6" t="s">
        <v>6293</v>
      </c>
      <c r="B359" s="6" t="s">
        <v>6295</v>
      </c>
      <c r="C359" s="248">
        <v>2986</v>
      </c>
      <c r="D359" s="248">
        <v>2463008</v>
      </c>
      <c r="E359" s="249">
        <v>0</v>
      </c>
      <c r="F359" s="250">
        <v>100</v>
      </c>
      <c r="G359" s="251">
        <v>0</v>
      </c>
    </row>
    <row r="360" spans="1:7" x14ac:dyDescent="0.25">
      <c r="A360" s="3353" t="s">
        <v>49</v>
      </c>
      <c r="B360" s="3354"/>
      <c r="C360" s="3354"/>
      <c r="D360" s="3354"/>
      <c r="E360" s="3354"/>
      <c r="F360" s="3354"/>
      <c r="G360" s="3354"/>
    </row>
    <row r="361" spans="1:7" x14ac:dyDescent="0.25">
      <c r="A361" s="11" t="s">
        <v>992</v>
      </c>
      <c r="B361" s="11" t="s">
        <v>1052</v>
      </c>
      <c r="C361" s="260">
        <v>1275</v>
      </c>
      <c r="D361" s="260">
        <v>971955.31572424597</v>
      </c>
      <c r="E361" s="261">
        <v>63402.200050073297</v>
      </c>
      <c r="F361" s="262">
        <v>40.845114687526703</v>
      </c>
      <c r="G361" s="263">
        <v>2.6583173621132099</v>
      </c>
    </row>
    <row r="362" spans="1:7" x14ac:dyDescent="0.25">
      <c r="A362" s="6" t="s">
        <v>990</v>
      </c>
      <c r="B362" s="6" t="s">
        <v>1051</v>
      </c>
      <c r="C362" s="256">
        <v>811</v>
      </c>
      <c r="D362" s="256">
        <v>686847.22446305805</v>
      </c>
      <c r="E362" s="257">
        <v>45858.075627389502</v>
      </c>
      <c r="F362" s="258">
        <v>28.863830674251201</v>
      </c>
      <c r="G362" s="259">
        <v>1.8617906220604099</v>
      </c>
    </row>
    <row r="363" spans="1:7" x14ac:dyDescent="0.25">
      <c r="A363" s="11" t="s">
        <v>988</v>
      </c>
      <c r="B363" s="11" t="s">
        <v>1050</v>
      </c>
      <c r="C363" s="260">
        <v>539</v>
      </c>
      <c r="D363" s="260">
        <v>446625.2081709</v>
      </c>
      <c r="E363" s="261">
        <v>39659.1853919895</v>
      </c>
      <c r="F363" s="262">
        <v>18.768823581655798</v>
      </c>
      <c r="G363" s="263">
        <v>1.6494481472225799</v>
      </c>
    </row>
    <row r="364" spans="1:7" x14ac:dyDescent="0.25">
      <c r="A364" s="6" t="s">
        <v>986</v>
      </c>
      <c r="B364" s="6" t="s">
        <v>1049</v>
      </c>
      <c r="C364" s="256">
        <v>174</v>
      </c>
      <c r="D364" s="256">
        <v>206481.255209733</v>
      </c>
      <c r="E364" s="257">
        <v>41009.591744720601</v>
      </c>
      <c r="F364" s="258">
        <v>8.6770969955359192</v>
      </c>
      <c r="G364" s="259">
        <v>1.73750272619949</v>
      </c>
    </row>
    <row r="365" spans="1:7" x14ac:dyDescent="0.25">
      <c r="A365" s="11" t="s">
        <v>984</v>
      </c>
      <c r="B365" s="11" t="s">
        <v>1048</v>
      </c>
      <c r="C365" s="260">
        <v>55</v>
      </c>
      <c r="D365" s="260">
        <v>67703.156074404105</v>
      </c>
      <c r="E365" s="261">
        <v>11430.7718691599</v>
      </c>
      <c r="F365" s="262">
        <v>2.8451340610303499</v>
      </c>
      <c r="G365" s="263">
        <v>0.489651148640879</v>
      </c>
    </row>
    <row r="366" spans="1:7" x14ac:dyDescent="0.25">
      <c r="A366" s="6" t="s">
        <v>982</v>
      </c>
      <c r="B366" s="6" t="s">
        <v>983</v>
      </c>
      <c r="C366" s="256">
        <v>133</v>
      </c>
      <c r="D366" s="256">
        <v>83395.840357657697</v>
      </c>
      <c r="E366" s="257">
        <v>16506.803780343202</v>
      </c>
      <c r="F366" s="258">
        <v>100</v>
      </c>
      <c r="G366" s="259">
        <v>0</v>
      </c>
    </row>
    <row r="367" spans="1:7" x14ac:dyDescent="0.25">
      <c r="A367" s="11" t="s">
        <v>6293</v>
      </c>
      <c r="B367" s="11" t="s">
        <v>6294</v>
      </c>
      <c r="C367" s="260">
        <v>2854</v>
      </c>
      <c r="D367" s="260">
        <v>2379612.1596423401</v>
      </c>
      <c r="E367" s="261">
        <v>16506.803780340899</v>
      </c>
      <c r="F367" s="262">
        <v>96.614065388433303</v>
      </c>
      <c r="G367" s="263">
        <v>0.67018880086233601</v>
      </c>
    </row>
    <row r="368" spans="1:7" x14ac:dyDescent="0.25">
      <c r="A368" s="6" t="s">
        <v>6293</v>
      </c>
      <c r="B368" s="6" t="s">
        <v>6295</v>
      </c>
      <c r="C368" s="256">
        <v>2987</v>
      </c>
      <c r="D368" s="256">
        <v>2463008</v>
      </c>
      <c r="E368" s="257">
        <v>0</v>
      </c>
      <c r="F368" s="258">
        <v>100</v>
      </c>
      <c r="G368" s="259">
        <v>0</v>
      </c>
    </row>
    <row r="369" spans="1:7" x14ac:dyDescent="0.25">
      <c r="A369" s="3353" t="s">
        <v>514</v>
      </c>
      <c r="B369" s="3354"/>
      <c r="C369" s="3354"/>
      <c r="D369" s="3354"/>
      <c r="E369" s="3354"/>
      <c r="F369" s="3354"/>
      <c r="G369" s="3354"/>
    </row>
    <row r="370" spans="1:7" x14ac:dyDescent="0.25">
      <c r="A370" s="11" t="s">
        <v>992</v>
      </c>
      <c r="B370" s="11" t="s">
        <v>1052</v>
      </c>
      <c r="C370" s="268">
        <v>1292</v>
      </c>
      <c r="D370" s="268">
        <v>955388.33551151701</v>
      </c>
      <c r="E370" s="269">
        <v>41965.326258877103</v>
      </c>
      <c r="F370" s="270">
        <v>40.227725809364898</v>
      </c>
      <c r="G370" s="271">
        <v>1.77056956782026</v>
      </c>
    </row>
    <row r="371" spans="1:7" x14ac:dyDescent="0.25">
      <c r="A371" s="6" t="s">
        <v>990</v>
      </c>
      <c r="B371" s="6" t="s">
        <v>1051</v>
      </c>
      <c r="C371" s="264">
        <v>778</v>
      </c>
      <c r="D371" s="264">
        <v>626046.87166220404</v>
      </c>
      <c r="E371" s="265">
        <v>42770.254281997797</v>
      </c>
      <c r="F371" s="266">
        <v>26.360424301762102</v>
      </c>
      <c r="G371" s="267">
        <v>1.8116121741157001</v>
      </c>
    </row>
    <row r="372" spans="1:7" x14ac:dyDescent="0.25">
      <c r="A372" s="11" t="s">
        <v>988</v>
      </c>
      <c r="B372" s="11" t="s">
        <v>1050</v>
      </c>
      <c r="C372" s="268">
        <v>564</v>
      </c>
      <c r="D372" s="268">
        <v>467753.34140979103</v>
      </c>
      <c r="E372" s="269">
        <v>22048.668752483802</v>
      </c>
      <c r="F372" s="270">
        <v>19.6952929664699</v>
      </c>
      <c r="G372" s="271">
        <v>0.93056979319828004</v>
      </c>
    </row>
    <row r="373" spans="1:7" x14ac:dyDescent="0.25">
      <c r="A373" s="6" t="s">
        <v>986</v>
      </c>
      <c r="B373" s="6" t="s">
        <v>1049</v>
      </c>
      <c r="C373" s="264">
        <v>153</v>
      </c>
      <c r="D373" s="264">
        <v>213765.16096311301</v>
      </c>
      <c r="E373" s="265">
        <v>29999.9495034582</v>
      </c>
      <c r="F373" s="266">
        <v>9.0008282110905409</v>
      </c>
      <c r="G373" s="267">
        <v>1.23974154835952</v>
      </c>
    </row>
    <row r="374" spans="1:7" x14ac:dyDescent="0.25">
      <c r="A374" s="11" t="s">
        <v>984</v>
      </c>
      <c r="B374" s="11" t="s">
        <v>1048</v>
      </c>
      <c r="C374" s="268">
        <v>62</v>
      </c>
      <c r="D374" s="268">
        <v>111996.194504635</v>
      </c>
      <c r="E374" s="269">
        <v>20379.669962711501</v>
      </c>
      <c r="F374" s="270">
        <v>4.7157287113125399</v>
      </c>
      <c r="G374" s="271">
        <v>0.86109577130147397</v>
      </c>
    </row>
    <row r="375" spans="1:7" x14ac:dyDescent="0.25">
      <c r="A375" s="6" t="s">
        <v>982</v>
      </c>
      <c r="B375" s="6" t="s">
        <v>983</v>
      </c>
      <c r="C375" s="264">
        <v>138</v>
      </c>
      <c r="D375" s="264">
        <v>88058.095948738599</v>
      </c>
      <c r="E375" s="265">
        <v>14859.2906264946</v>
      </c>
      <c r="F375" s="266">
        <v>100</v>
      </c>
      <c r="G375" s="267">
        <v>0</v>
      </c>
    </row>
    <row r="376" spans="1:7" x14ac:dyDescent="0.25">
      <c r="A376" s="11" t="s">
        <v>6293</v>
      </c>
      <c r="B376" s="11" t="s">
        <v>6294</v>
      </c>
      <c r="C376" s="268">
        <v>2849</v>
      </c>
      <c r="D376" s="268">
        <v>2374949.9040512601</v>
      </c>
      <c r="E376" s="269">
        <v>14859.290626493899</v>
      </c>
      <c r="F376" s="270">
        <v>96.424774261848199</v>
      </c>
      <c r="G376" s="271">
        <v>0.60329851248937205</v>
      </c>
    </row>
    <row r="377" spans="1:7" x14ac:dyDescent="0.25">
      <c r="A377" s="6" t="s">
        <v>6293</v>
      </c>
      <c r="B377" s="6" t="s">
        <v>6295</v>
      </c>
      <c r="C377" s="264">
        <v>2987</v>
      </c>
      <c r="D377" s="264">
        <v>2463008</v>
      </c>
      <c r="E377" s="265">
        <v>0</v>
      </c>
      <c r="F377" s="266">
        <v>100</v>
      </c>
      <c r="G377" s="267">
        <v>0</v>
      </c>
    </row>
    <row r="378" spans="1:7" x14ac:dyDescent="0.25">
      <c r="A378" s="3353" t="s">
        <v>769</v>
      </c>
      <c r="B378" s="3354"/>
      <c r="C378" s="3354"/>
      <c r="D378" s="3354"/>
      <c r="E378" s="3354"/>
      <c r="F378" s="3354"/>
      <c r="G378" s="3354"/>
    </row>
    <row r="379" spans="1:7" x14ac:dyDescent="0.25">
      <c r="A379" s="11" t="s">
        <v>986</v>
      </c>
      <c r="B379" s="11" t="s">
        <v>1062</v>
      </c>
      <c r="C379" s="276">
        <v>2605</v>
      </c>
      <c r="D379" s="276">
        <v>2076602.9089452501</v>
      </c>
      <c r="E379" s="277">
        <v>35210.251095097599</v>
      </c>
      <c r="F379" s="278">
        <v>84.311659115408602</v>
      </c>
      <c r="G379" s="279">
        <v>1.42956300162645</v>
      </c>
    </row>
    <row r="380" spans="1:7" x14ac:dyDescent="0.25">
      <c r="A380" s="6" t="s">
        <v>984</v>
      </c>
      <c r="B380" s="6" t="s">
        <v>1061</v>
      </c>
      <c r="C380" s="272">
        <v>382</v>
      </c>
      <c r="D380" s="272">
        <v>386405.09105475701</v>
      </c>
      <c r="E380" s="273">
        <v>35210.251095099899</v>
      </c>
      <c r="F380" s="274">
        <v>15.688340884591399</v>
      </c>
      <c r="G380" s="275">
        <v>1.42956300162644</v>
      </c>
    </row>
    <row r="381" spans="1:7" x14ac:dyDescent="0.25">
      <c r="A381" s="11" t="s">
        <v>6293</v>
      </c>
      <c r="B381" s="11" t="s">
        <v>6294</v>
      </c>
      <c r="C381" s="276">
        <v>2987</v>
      </c>
      <c r="D381" s="276">
        <v>2463008</v>
      </c>
      <c r="E381" s="277">
        <v>2.04179142892495E-8</v>
      </c>
      <c r="F381" s="278">
        <v>100</v>
      </c>
      <c r="G381" s="279">
        <v>0</v>
      </c>
    </row>
    <row r="382" spans="1:7" x14ac:dyDescent="0.25">
      <c r="A382" s="6" t="s">
        <v>6293</v>
      </c>
      <c r="B382" s="6" t="s">
        <v>6295</v>
      </c>
      <c r="C382" s="272">
        <v>2987</v>
      </c>
      <c r="D382" s="272">
        <v>2463008</v>
      </c>
      <c r="E382" s="273">
        <v>0</v>
      </c>
      <c r="F382" s="274">
        <v>100</v>
      </c>
      <c r="G382" s="275">
        <v>0</v>
      </c>
    </row>
    <row r="383" spans="1:7" x14ac:dyDescent="0.25">
      <c r="A383" s="3353" t="s">
        <v>205</v>
      </c>
      <c r="B383" s="3354"/>
      <c r="C383" s="3354"/>
      <c r="D383" s="3354"/>
      <c r="E383" s="3354"/>
      <c r="F383" s="3354"/>
      <c r="G383" s="3354"/>
    </row>
    <row r="384" spans="1:7" x14ac:dyDescent="0.25">
      <c r="A384" s="11" t="s">
        <v>984</v>
      </c>
      <c r="B384" s="11" t="s">
        <v>1061</v>
      </c>
      <c r="C384" s="284">
        <v>1715</v>
      </c>
      <c r="D384" s="284">
        <v>1400141.1458950799</v>
      </c>
      <c r="E384" s="285">
        <v>71258.108012674405</v>
      </c>
      <c r="F384" s="286">
        <v>61.4500675475159</v>
      </c>
      <c r="G384" s="287">
        <v>2.9503391890027602</v>
      </c>
    </row>
    <row r="385" spans="1:7" x14ac:dyDescent="0.25">
      <c r="A385" s="6" t="s">
        <v>986</v>
      </c>
      <c r="B385" s="6" t="s">
        <v>1062</v>
      </c>
      <c r="C385" s="280">
        <v>1094</v>
      </c>
      <c r="D385" s="280">
        <v>878361.06211702502</v>
      </c>
      <c r="E385" s="281">
        <v>66111.670516611106</v>
      </c>
      <c r="F385" s="282">
        <v>38.5499324524841</v>
      </c>
      <c r="G385" s="283">
        <v>2.9503391890027699</v>
      </c>
    </row>
    <row r="386" spans="1:7" x14ac:dyDescent="0.25">
      <c r="A386" s="11" t="s">
        <v>996</v>
      </c>
      <c r="B386" s="11" t="s">
        <v>997</v>
      </c>
      <c r="C386" s="284">
        <v>173</v>
      </c>
      <c r="D386" s="284">
        <v>175261.19940067301</v>
      </c>
      <c r="E386" s="285">
        <v>19809.379592356301</v>
      </c>
      <c r="F386" s="286">
        <v>94.989538004407294</v>
      </c>
      <c r="G386" s="287">
        <v>3.2577577033674401</v>
      </c>
    </row>
    <row r="387" spans="1:7" x14ac:dyDescent="0.25">
      <c r="A387" s="6" t="s">
        <v>978</v>
      </c>
      <c r="B387" s="6" t="s">
        <v>1047</v>
      </c>
      <c r="C387" s="280">
        <v>3</v>
      </c>
      <c r="D387" s="280">
        <v>5962.0040526668699</v>
      </c>
      <c r="E387" s="281">
        <v>5877.4631778246703</v>
      </c>
      <c r="F387" s="282">
        <v>3.23133706992681</v>
      </c>
      <c r="G387" s="283">
        <v>3.1899732979086299</v>
      </c>
    </row>
    <row r="388" spans="1:7" x14ac:dyDescent="0.25">
      <c r="A388" s="11" t="s">
        <v>980</v>
      </c>
      <c r="B388" s="11" t="s">
        <v>1041</v>
      </c>
      <c r="C388" s="284">
        <v>2</v>
      </c>
      <c r="D388" s="284">
        <v>3282.58853455398</v>
      </c>
      <c r="E388" s="285">
        <v>3468.3835923093202</v>
      </c>
      <c r="F388" s="286">
        <v>1.77912492566594</v>
      </c>
      <c r="G388" s="287">
        <v>1.9101733573779101</v>
      </c>
    </row>
    <row r="389" spans="1:7" x14ac:dyDescent="0.25">
      <c r="A389" s="6" t="s">
        <v>6293</v>
      </c>
      <c r="B389" s="6" t="s">
        <v>6294</v>
      </c>
      <c r="C389" s="280">
        <v>2809</v>
      </c>
      <c r="D389" s="280">
        <v>2278502.2080121101</v>
      </c>
      <c r="E389" s="281">
        <v>22203.67671842</v>
      </c>
      <c r="F389" s="282">
        <v>92.508924372641303</v>
      </c>
      <c r="G389" s="283">
        <v>0.90148617943680498</v>
      </c>
    </row>
    <row r="390" spans="1:7" x14ac:dyDescent="0.25">
      <c r="A390" s="11" t="s">
        <v>6293</v>
      </c>
      <c r="B390" s="11" t="s">
        <v>6295</v>
      </c>
      <c r="C390" s="284">
        <v>2987</v>
      </c>
      <c r="D390" s="284">
        <v>2463008</v>
      </c>
      <c r="E390" s="285">
        <v>0</v>
      </c>
      <c r="F390" s="286">
        <v>100</v>
      </c>
      <c r="G390" s="287">
        <v>0</v>
      </c>
    </row>
    <row r="391" spans="1:7" x14ac:dyDescent="0.25">
      <c r="A391" s="3353" t="s">
        <v>366</v>
      </c>
      <c r="B391" s="3354"/>
      <c r="C391" s="3354"/>
      <c r="D391" s="3354"/>
      <c r="E391" s="3354"/>
      <c r="F391" s="3354"/>
      <c r="G391" s="3354"/>
    </row>
    <row r="392" spans="1:7" x14ac:dyDescent="0.25">
      <c r="A392" s="11" t="s">
        <v>1174</v>
      </c>
      <c r="B392" s="11"/>
      <c r="C392" s="292">
        <v>806</v>
      </c>
      <c r="D392" s="292">
        <v>836115.42063118902</v>
      </c>
      <c r="E392" s="293">
        <v>40743.911122901198</v>
      </c>
      <c r="F392" s="294">
        <v>34.124618584928697</v>
      </c>
      <c r="G392" s="295">
        <v>1.64505988795719</v>
      </c>
    </row>
    <row r="393" spans="1:7" x14ac:dyDescent="0.25">
      <c r="A393" s="6" t="s">
        <v>6296</v>
      </c>
      <c r="B393" s="6"/>
      <c r="C393" s="288">
        <v>487</v>
      </c>
      <c r="D393" s="288">
        <v>475974.14080249798</v>
      </c>
      <c r="E393" s="289">
        <v>44387.777035346196</v>
      </c>
      <c r="F393" s="290">
        <v>19.426069189003702</v>
      </c>
      <c r="G393" s="291">
        <v>1.81324161613227</v>
      </c>
    </row>
    <row r="394" spans="1:7" x14ac:dyDescent="0.25">
      <c r="A394" s="11" t="s">
        <v>6298</v>
      </c>
      <c r="B394" s="11"/>
      <c r="C394" s="292">
        <v>477</v>
      </c>
      <c r="D394" s="292">
        <v>353584.859283105</v>
      </c>
      <c r="E394" s="293">
        <v>36985.612647072398</v>
      </c>
      <c r="F394" s="294">
        <v>14.430960322838001</v>
      </c>
      <c r="G394" s="295">
        <v>1.4943205047603101</v>
      </c>
    </row>
    <row r="395" spans="1:7" x14ac:dyDescent="0.25">
      <c r="A395" s="6" t="s">
        <v>6297</v>
      </c>
      <c r="B395" s="6"/>
      <c r="C395" s="288">
        <v>288</v>
      </c>
      <c r="D395" s="288">
        <v>211225.148868188</v>
      </c>
      <c r="E395" s="289">
        <v>41133.398638768202</v>
      </c>
      <c r="F395" s="290">
        <v>8.6207926116592297</v>
      </c>
      <c r="G395" s="291">
        <v>1.68463059944659</v>
      </c>
    </row>
    <row r="396" spans="1:7" x14ac:dyDescent="0.25">
      <c r="A396" s="11" t="s">
        <v>6300</v>
      </c>
      <c r="B396" s="11"/>
      <c r="C396" s="292">
        <v>254</v>
      </c>
      <c r="D396" s="292">
        <v>181730.07247439199</v>
      </c>
      <c r="E396" s="293">
        <v>19788.0641090797</v>
      </c>
      <c r="F396" s="294">
        <v>7.4170015952086397</v>
      </c>
      <c r="G396" s="295">
        <v>0.80818433601139505</v>
      </c>
    </row>
    <row r="397" spans="1:7" x14ac:dyDescent="0.25">
      <c r="A397" s="6" t="s">
        <v>6301</v>
      </c>
      <c r="B397" s="6"/>
      <c r="C397" s="288">
        <v>143</v>
      </c>
      <c r="D397" s="288">
        <v>80977.351643770293</v>
      </c>
      <c r="E397" s="289">
        <v>16176.537783785599</v>
      </c>
      <c r="F397" s="290">
        <v>3.30495188902899</v>
      </c>
      <c r="G397" s="291">
        <v>0.65715321761420498</v>
      </c>
    </row>
    <row r="398" spans="1:7" x14ac:dyDescent="0.25">
      <c r="A398" s="11" t="s">
        <v>6299</v>
      </c>
      <c r="B398" s="11"/>
      <c r="C398" s="292">
        <v>136</v>
      </c>
      <c r="D398" s="292">
        <v>77167.0925024756</v>
      </c>
      <c r="E398" s="293">
        <v>15844.120947846901</v>
      </c>
      <c r="F398" s="294">
        <v>3.14944268934426</v>
      </c>
      <c r="G398" s="295">
        <v>0.64395077174965298</v>
      </c>
    </row>
    <row r="399" spans="1:7" x14ac:dyDescent="0.25">
      <c r="A399" s="6" t="s">
        <v>1017</v>
      </c>
      <c r="B399" s="6"/>
      <c r="C399" s="288">
        <v>94</v>
      </c>
      <c r="D399" s="288">
        <v>53092.843039662897</v>
      </c>
      <c r="E399" s="289">
        <v>12224.1744700785</v>
      </c>
      <c r="F399" s="290">
        <v>2.16689343793022</v>
      </c>
      <c r="G399" s="291">
        <v>0.49814923239483</v>
      </c>
    </row>
    <row r="400" spans="1:7" x14ac:dyDescent="0.25">
      <c r="A400" s="11" t="s">
        <v>1177</v>
      </c>
      <c r="B400" s="11"/>
      <c r="C400" s="292">
        <v>25</v>
      </c>
      <c r="D400" s="292">
        <v>28711.285568587798</v>
      </c>
      <c r="E400" s="293">
        <v>6522.6274685834496</v>
      </c>
      <c r="F400" s="294">
        <v>1.17180193659315</v>
      </c>
      <c r="G400" s="295">
        <v>0.26484395567237601</v>
      </c>
    </row>
    <row r="401" spans="1:7" x14ac:dyDescent="0.25">
      <c r="A401" s="6" t="s">
        <v>1027</v>
      </c>
      <c r="B401" s="6"/>
      <c r="C401" s="288">
        <v>18</v>
      </c>
      <c r="D401" s="288">
        <v>20663.842165948699</v>
      </c>
      <c r="E401" s="289">
        <v>9850.6602457953995</v>
      </c>
      <c r="F401" s="290">
        <v>0.84335931979325096</v>
      </c>
      <c r="G401" s="291">
        <v>0.40151035572191301</v>
      </c>
    </row>
    <row r="402" spans="1:7" x14ac:dyDescent="0.25">
      <c r="A402" s="11" t="s">
        <v>6303</v>
      </c>
      <c r="B402" s="11"/>
      <c r="C402" s="292">
        <v>73</v>
      </c>
      <c r="D402" s="292">
        <v>18129.642137689501</v>
      </c>
      <c r="E402" s="293">
        <v>4939.3272734083903</v>
      </c>
      <c r="F402" s="294">
        <v>0.73993028685306494</v>
      </c>
      <c r="G402" s="295">
        <v>0.201565713019982</v>
      </c>
    </row>
    <row r="403" spans="1:7" x14ac:dyDescent="0.25">
      <c r="A403" s="6" t="s">
        <v>1021</v>
      </c>
      <c r="B403" s="6"/>
      <c r="C403" s="288">
        <v>24</v>
      </c>
      <c r="D403" s="288">
        <v>17731.339848219701</v>
      </c>
      <c r="E403" s="289">
        <v>11644.459770604801</v>
      </c>
      <c r="F403" s="290">
        <v>0.72367426122038403</v>
      </c>
      <c r="G403" s="291">
        <v>0.475566945732742</v>
      </c>
    </row>
    <row r="404" spans="1:7" x14ac:dyDescent="0.25">
      <c r="A404" s="11" t="s">
        <v>1179</v>
      </c>
      <c r="B404" s="11"/>
      <c r="C404" s="292">
        <v>11</v>
      </c>
      <c r="D404" s="292">
        <v>13613.0844933434</v>
      </c>
      <c r="E404" s="293">
        <v>7453.8455742701799</v>
      </c>
      <c r="F404" s="294">
        <v>0.55559472369145602</v>
      </c>
      <c r="G404" s="295">
        <v>0.30459556778506902</v>
      </c>
    </row>
    <row r="405" spans="1:7" x14ac:dyDescent="0.25">
      <c r="A405" s="6" t="s">
        <v>6304</v>
      </c>
      <c r="B405" s="6"/>
      <c r="C405" s="288">
        <v>18</v>
      </c>
      <c r="D405" s="288">
        <v>13363.433778394199</v>
      </c>
      <c r="E405" s="289">
        <v>7308.1225153908899</v>
      </c>
      <c r="F405" s="290">
        <v>0.54540565742514602</v>
      </c>
      <c r="G405" s="291">
        <v>0.29769223859829902</v>
      </c>
    </row>
    <row r="406" spans="1:7" x14ac:dyDescent="0.25">
      <c r="A406" s="11" t="s">
        <v>1029</v>
      </c>
      <c r="B406" s="11"/>
      <c r="C406" s="292">
        <v>14</v>
      </c>
      <c r="D406" s="292">
        <v>11034.477119102001</v>
      </c>
      <c r="E406" s="293">
        <v>9052.3637169142094</v>
      </c>
      <c r="F406" s="294">
        <v>0.45035328099704303</v>
      </c>
      <c r="G406" s="295">
        <v>0.36917696848431097</v>
      </c>
    </row>
    <row r="407" spans="1:7" x14ac:dyDescent="0.25">
      <c r="A407" s="6" t="s">
        <v>6302</v>
      </c>
      <c r="B407" s="6"/>
      <c r="C407" s="288">
        <v>37</v>
      </c>
      <c r="D407" s="288">
        <v>9836.6075403536106</v>
      </c>
      <c r="E407" s="289">
        <v>4522.1466553905602</v>
      </c>
      <c r="F407" s="290">
        <v>0.40146428615178598</v>
      </c>
      <c r="G407" s="291">
        <v>0.18454484556463199</v>
      </c>
    </row>
    <row r="408" spans="1:7" x14ac:dyDescent="0.25">
      <c r="A408" s="11" t="s">
        <v>1075</v>
      </c>
      <c r="B408" s="11"/>
      <c r="C408" s="292">
        <v>3</v>
      </c>
      <c r="D408" s="292">
        <v>7978.2408769899203</v>
      </c>
      <c r="E408" s="293">
        <v>7488.4091172549297</v>
      </c>
      <c r="F408" s="294">
        <v>0.32561823426296999</v>
      </c>
      <c r="G408" s="295">
        <v>0.30551915062146201</v>
      </c>
    </row>
    <row r="409" spans="1:7" x14ac:dyDescent="0.25">
      <c r="A409" s="6" t="s">
        <v>4322</v>
      </c>
      <c r="B409" s="6"/>
      <c r="C409" s="288">
        <v>1</v>
      </c>
      <c r="D409" s="288">
        <v>7314.63724624734</v>
      </c>
      <c r="E409" s="289">
        <v>7222.9854816634597</v>
      </c>
      <c r="F409" s="290">
        <v>0.298534388860897</v>
      </c>
      <c r="G409" s="291">
        <v>0.29495493926535798</v>
      </c>
    </row>
    <row r="410" spans="1:7" x14ac:dyDescent="0.25">
      <c r="A410" s="11" t="s">
        <v>3054</v>
      </c>
      <c r="B410" s="11"/>
      <c r="C410" s="292">
        <v>15</v>
      </c>
      <c r="D410" s="292">
        <v>7072.1617530555204</v>
      </c>
      <c r="E410" s="293">
        <v>5876.3335005093604</v>
      </c>
      <c r="F410" s="294">
        <v>0.288638166979094</v>
      </c>
      <c r="G410" s="295">
        <v>0.23958523431038301</v>
      </c>
    </row>
    <row r="411" spans="1:7" x14ac:dyDescent="0.25">
      <c r="A411" s="6" t="s">
        <v>1019</v>
      </c>
      <c r="B411" s="6"/>
      <c r="C411" s="288">
        <v>7</v>
      </c>
      <c r="D411" s="288">
        <v>5623.7238994603704</v>
      </c>
      <c r="E411" s="289">
        <v>4032.1906507450499</v>
      </c>
      <c r="F411" s="290">
        <v>0.229522657232133</v>
      </c>
      <c r="G411" s="291">
        <v>0.164452084873555</v>
      </c>
    </row>
    <row r="412" spans="1:7" x14ac:dyDescent="0.25">
      <c r="A412" s="11" t="s">
        <v>1185</v>
      </c>
      <c r="B412" s="11"/>
      <c r="C412" s="292">
        <v>2</v>
      </c>
      <c r="D412" s="292">
        <v>2595.2356859798401</v>
      </c>
      <c r="E412" s="293">
        <v>2408.2740085467099</v>
      </c>
      <c r="F412" s="294">
        <v>0.105920098752876</v>
      </c>
      <c r="G412" s="295">
        <v>9.8245120299717298E-2</v>
      </c>
    </row>
    <row r="413" spans="1:7" x14ac:dyDescent="0.25">
      <c r="A413" s="6" t="s">
        <v>1023</v>
      </c>
      <c r="B413" s="6"/>
      <c r="C413" s="288">
        <v>2</v>
      </c>
      <c r="D413" s="288">
        <v>2317.9152209982299</v>
      </c>
      <c r="E413" s="289">
        <v>2229.67953560467</v>
      </c>
      <c r="F413" s="290">
        <v>9.4601739038677093E-2</v>
      </c>
      <c r="G413" s="291">
        <v>9.0925094615817603E-2</v>
      </c>
    </row>
    <row r="414" spans="1:7" x14ac:dyDescent="0.25">
      <c r="A414" s="11" t="s">
        <v>3056</v>
      </c>
      <c r="B414" s="11"/>
      <c r="C414" s="292">
        <v>2</v>
      </c>
      <c r="D414" s="292">
        <v>2284.3328216633399</v>
      </c>
      <c r="E414" s="293">
        <v>2279.83062877255</v>
      </c>
      <c r="F414" s="294">
        <v>9.3231130938177295E-2</v>
      </c>
      <c r="G414" s="295">
        <v>9.2975311959654902E-2</v>
      </c>
    </row>
    <row r="415" spans="1:7" x14ac:dyDescent="0.25">
      <c r="A415" s="6" t="s">
        <v>1183</v>
      </c>
      <c r="B415" s="6"/>
      <c r="C415" s="288">
        <v>6</v>
      </c>
      <c r="D415" s="288">
        <v>2155.6832411451701</v>
      </c>
      <c r="E415" s="289">
        <v>1320.42194383632</v>
      </c>
      <c r="F415" s="290">
        <v>8.7980518692586204E-2</v>
      </c>
      <c r="G415" s="291">
        <v>5.3839542048838999E-2</v>
      </c>
    </row>
    <row r="416" spans="1:7" x14ac:dyDescent="0.25">
      <c r="A416" s="11" t="s">
        <v>1087</v>
      </c>
      <c r="B416" s="11"/>
      <c r="C416" s="292">
        <v>2</v>
      </c>
      <c r="D416" s="292">
        <v>1860.5495263186799</v>
      </c>
      <c r="E416" s="293">
        <v>1765.49501688481</v>
      </c>
      <c r="F416" s="294">
        <v>7.5935141700969294E-2</v>
      </c>
      <c r="G416" s="295">
        <v>7.2025970340494599E-2</v>
      </c>
    </row>
    <row r="417" spans="1:7" x14ac:dyDescent="0.25">
      <c r="A417" s="6" t="s">
        <v>3083</v>
      </c>
      <c r="B417" s="6"/>
      <c r="C417" s="288">
        <v>2</v>
      </c>
      <c r="D417" s="288">
        <v>1709.9697934794599</v>
      </c>
      <c r="E417" s="289">
        <v>1741.6295631764799</v>
      </c>
      <c r="F417" s="290">
        <v>6.9789487855858007E-2</v>
      </c>
      <c r="G417" s="291">
        <v>7.1023212680391801E-2</v>
      </c>
    </row>
    <row r="418" spans="1:7" x14ac:dyDescent="0.25">
      <c r="A418" s="11" t="s">
        <v>3069</v>
      </c>
      <c r="B418" s="11"/>
      <c r="C418" s="292">
        <v>3</v>
      </c>
      <c r="D418" s="292">
        <v>1673.46087241757</v>
      </c>
      <c r="E418" s="293">
        <v>1211.16709620913</v>
      </c>
      <c r="F418" s="294">
        <v>6.8299438784350894E-2</v>
      </c>
      <c r="G418" s="295">
        <v>4.9376700504600801E-2</v>
      </c>
    </row>
    <row r="419" spans="1:7" x14ac:dyDescent="0.25">
      <c r="A419" s="6" t="s">
        <v>3097</v>
      </c>
      <c r="B419" s="6"/>
      <c r="C419" s="288">
        <v>1</v>
      </c>
      <c r="D419" s="288">
        <v>936.43250620121705</v>
      </c>
      <c r="E419" s="289">
        <v>940.04964480138904</v>
      </c>
      <c r="F419" s="290">
        <v>3.8218888584212601E-2</v>
      </c>
      <c r="G419" s="291">
        <v>3.8338761033752597E-2</v>
      </c>
    </row>
    <row r="420" spans="1:7" x14ac:dyDescent="0.25">
      <c r="A420" s="11" t="s">
        <v>3199</v>
      </c>
      <c r="B420" s="11"/>
      <c r="C420" s="292">
        <v>1</v>
      </c>
      <c r="D420" s="292">
        <v>783.75361038025801</v>
      </c>
      <c r="E420" s="293">
        <v>810.56068421730504</v>
      </c>
      <c r="F420" s="294">
        <v>3.1987560997974403E-2</v>
      </c>
      <c r="G420" s="295">
        <v>3.3070334577132397E-2</v>
      </c>
    </row>
    <row r="421" spans="1:7" x14ac:dyDescent="0.25">
      <c r="A421" s="6" t="s">
        <v>1031</v>
      </c>
      <c r="B421" s="6"/>
      <c r="C421" s="288">
        <v>5</v>
      </c>
      <c r="D421" s="288">
        <v>490.85174177174798</v>
      </c>
      <c r="E421" s="289">
        <v>421.56567303294099</v>
      </c>
      <c r="F421" s="290">
        <v>2.00332729864784E-2</v>
      </c>
      <c r="G421" s="291">
        <v>1.7200931893504998E-2</v>
      </c>
    </row>
    <row r="422" spans="1:7" x14ac:dyDescent="0.25">
      <c r="A422" s="11" t="s">
        <v>1079</v>
      </c>
      <c r="B422" s="11"/>
      <c r="C422" s="292">
        <v>1</v>
      </c>
      <c r="D422" s="292">
        <v>399.63972949883902</v>
      </c>
      <c r="E422" s="293">
        <v>409.23328096973398</v>
      </c>
      <c r="F422" s="294">
        <v>1.6310610956364002E-2</v>
      </c>
      <c r="G422" s="295">
        <v>1.6690761179327301E-2</v>
      </c>
    </row>
    <row r="423" spans="1:7" x14ac:dyDescent="0.25">
      <c r="A423" s="6" t="s">
        <v>1033</v>
      </c>
      <c r="B423" s="6"/>
      <c r="C423" s="288">
        <v>5</v>
      </c>
      <c r="D423" s="288">
        <v>334.06235281775002</v>
      </c>
      <c r="E423" s="289">
        <v>153.75335337707099</v>
      </c>
      <c r="F423" s="290">
        <v>1.36341826644985E-2</v>
      </c>
      <c r="G423" s="291">
        <v>6.2597561603481401E-3</v>
      </c>
    </row>
    <row r="424" spans="1:7" x14ac:dyDescent="0.25">
      <c r="A424" s="11" t="s">
        <v>6369</v>
      </c>
      <c r="B424" s="11"/>
      <c r="C424" s="292">
        <v>1</v>
      </c>
      <c r="D424" s="292">
        <v>282.90742270090698</v>
      </c>
      <c r="E424" s="293">
        <v>288.708982099119</v>
      </c>
      <c r="F424" s="294">
        <v>1.1546381822769999E-2</v>
      </c>
      <c r="G424" s="295">
        <v>1.1774713625031401E-2</v>
      </c>
    </row>
    <row r="425" spans="1:7" x14ac:dyDescent="0.25">
      <c r="A425" s="6" t="s">
        <v>1035</v>
      </c>
      <c r="B425" s="6"/>
      <c r="C425" s="288">
        <v>2</v>
      </c>
      <c r="D425" s="288">
        <v>215.27729928285399</v>
      </c>
      <c r="E425" s="289">
        <v>214.41673668415001</v>
      </c>
      <c r="F425" s="290">
        <v>8.7861741892945894E-3</v>
      </c>
      <c r="G425" s="291">
        <v>8.7470946285575606E-3</v>
      </c>
    </row>
    <row r="426" spans="1:7" x14ac:dyDescent="0.25">
      <c r="A426" s="11" t="s">
        <v>3060</v>
      </c>
      <c r="B426" s="11"/>
      <c r="C426" s="292">
        <v>1</v>
      </c>
      <c r="D426" s="292">
        <v>205.04457865210901</v>
      </c>
      <c r="E426" s="293">
        <v>214.323897289233</v>
      </c>
      <c r="F426" s="294">
        <v>8.3685432259203007E-3</v>
      </c>
      <c r="G426" s="295">
        <v>8.7432622085404903E-3</v>
      </c>
    </row>
    <row r="427" spans="1:7" x14ac:dyDescent="0.25">
      <c r="A427" s="6" t="s">
        <v>6370</v>
      </c>
      <c r="B427" s="6"/>
      <c r="C427" s="288">
        <v>1</v>
      </c>
      <c r="D427" s="288">
        <v>183.25877276799099</v>
      </c>
      <c r="E427" s="289">
        <v>185.24778094593</v>
      </c>
      <c r="F427" s="290">
        <v>7.47939287895074E-3</v>
      </c>
      <c r="G427" s="291">
        <v>7.5542709942569E-3</v>
      </c>
    </row>
    <row r="428" spans="1:7" x14ac:dyDescent="0.25">
      <c r="A428" s="11" t="s">
        <v>1025</v>
      </c>
      <c r="B428" s="11"/>
      <c r="C428" s="292">
        <v>5</v>
      </c>
      <c r="D428" s="292">
        <v>157.27988013096899</v>
      </c>
      <c r="E428" s="293">
        <v>157.71757772112599</v>
      </c>
      <c r="F428" s="294">
        <v>6.4191088791317298E-3</v>
      </c>
      <c r="G428" s="295">
        <v>6.43239234772043E-3</v>
      </c>
    </row>
    <row r="429" spans="1:7" x14ac:dyDescent="0.25">
      <c r="A429" s="6" t="s">
        <v>1181</v>
      </c>
      <c r="B429" s="6"/>
      <c r="C429" s="288">
        <v>1</v>
      </c>
      <c r="D429" s="288">
        <v>153.53907806193399</v>
      </c>
      <c r="E429" s="289">
        <v>156.999124186529</v>
      </c>
      <c r="F429" s="290">
        <v>6.2664344508677897E-3</v>
      </c>
      <c r="G429" s="291">
        <v>6.4005660061779296E-3</v>
      </c>
    </row>
    <row r="430" spans="1:7" x14ac:dyDescent="0.25">
      <c r="A430" s="11" t="s">
        <v>6371</v>
      </c>
      <c r="B430" s="11"/>
      <c r="C430" s="292">
        <v>1</v>
      </c>
      <c r="D430" s="292">
        <v>145.45332631726399</v>
      </c>
      <c r="E430" s="293">
        <v>151.28145585046801</v>
      </c>
      <c r="F430" s="294">
        <v>5.9364283447120303E-3</v>
      </c>
      <c r="G430" s="295">
        <v>6.1653095778107202E-3</v>
      </c>
    </row>
    <row r="431" spans="1:7" x14ac:dyDescent="0.25">
      <c r="A431" s="6" t="s">
        <v>3075</v>
      </c>
      <c r="B431" s="6"/>
      <c r="C431" s="288">
        <v>1</v>
      </c>
      <c r="D431" s="288">
        <v>141.26595670421099</v>
      </c>
      <c r="E431" s="289">
        <v>146.602869625952</v>
      </c>
      <c r="F431" s="290">
        <v>5.7655280271318504E-3</v>
      </c>
      <c r="G431" s="291">
        <v>5.97944859526811E-3</v>
      </c>
    </row>
    <row r="432" spans="1:7" x14ac:dyDescent="0.25">
      <c r="A432" s="11" t="s">
        <v>6306</v>
      </c>
      <c r="B432" s="11"/>
      <c r="C432" s="292">
        <v>1</v>
      </c>
      <c r="D432" s="292">
        <v>119.613428221155</v>
      </c>
      <c r="E432" s="293">
        <v>119.523479344208</v>
      </c>
      <c r="F432" s="294">
        <v>4.8818171689756903E-3</v>
      </c>
      <c r="G432" s="295">
        <v>4.8740016225808204E-3</v>
      </c>
    </row>
    <row r="433" spans="1:7" x14ac:dyDescent="0.25">
      <c r="A433" s="6" t="s">
        <v>1071</v>
      </c>
      <c r="B433" s="6"/>
      <c r="C433" s="288">
        <v>1</v>
      </c>
      <c r="D433" s="288">
        <v>97.531940078081107</v>
      </c>
      <c r="E433" s="289">
        <v>99.050934420049799</v>
      </c>
      <c r="F433" s="290">
        <v>3.9805990571255504E-3</v>
      </c>
      <c r="G433" s="291">
        <v>4.0392653656155198E-3</v>
      </c>
    </row>
    <row r="434" spans="1:7" x14ac:dyDescent="0.25">
      <c r="A434" s="11" t="s">
        <v>978</v>
      </c>
      <c r="B434" s="11" t="s">
        <v>1047</v>
      </c>
      <c r="C434" s="292">
        <v>6</v>
      </c>
      <c r="D434" s="292">
        <v>12825.5355417378</v>
      </c>
      <c r="E434" s="293">
        <v>9346.9436820886003</v>
      </c>
      <c r="F434" s="294">
        <v>100</v>
      </c>
      <c r="G434" s="295">
        <v>0</v>
      </c>
    </row>
    <row r="435" spans="1:7" x14ac:dyDescent="0.25">
      <c r="A435" s="6" t="s">
        <v>6293</v>
      </c>
      <c r="B435" s="6" t="s">
        <v>6294</v>
      </c>
      <c r="C435" s="288">
        <v>2978</v>
      </c>
      <c r="D435" s="288">
        <v>2450182.4644582602</v>
      </c>
      <c r="E435" s="289">
        <v>9346.9436820891897</v>
      </c>
      <c r="F435" s="290">
        <v>99.479273492342003</v>
      </c>
      <c r="G435" s="291">
        <v>0.379493029746102</v>
      </c>
    </row>
    <row r="436" spans="1:7" x14ac:dyDescent="0.25">
      <c r="A436" s="11" t="s">
        <v>6293</v>
      </c>
      <c r="B436" s="11" t="s">
        <v>6295</v>
      </c>
      <c r="C436" s="292">
        <v>2984</v>
      </c>
      <c r="D436" s="292">
        <v>2463008</v>
      </c>
      <c r="E436" s="293">
        <v>0</v>
      </c>
      <c r="F436" s="294">
        <v>100</v>
      </c>
      <c r="G436" s="295">
        <v>0</v>
      </c>
    </row>
    <row r="437" spans="1:7" x14ac:dyDescent="0.25">
      <c r="A437" s="3353" t="s">
        <v>342</v>
      </c>
      <c r="B437" s="3354"/>
      <c r="C437" s="3354"/>
      <c r="D437" s="3354"/>
      <c r="E437" s="3354"/>
      <c r="F437" s="3354"/>
      <c r="G437" s="3354"/>
    </row>
    <row r="438" spans="1:7" x14ac:dyDescent="0.25">
      <c r="A438" s="11" t="s">
        <v>1174</v>
      </c>
      <c r="B438" s="11"/>
      <c r="C438" s="300">
        <v>1724</v>
      </c>
      <c r="D438" s="300">
        <v>1244974.30505866</v>
      </c>
      <c r="E438" s="301">
        <v>36238.963661894799</v>
      </c>
      <c r="F438" s="302">
        <v>77.175190788919807</v>
      </c>
      <c r="G438" s="303">
        <v>1.6598253598847199</v>
      </c>
    </row>
    <row r="439" spans="1:7" x14ac:dyDescent="0.25">
      <c r="A439" s="6" t="s">
        <v>6296</v>
      </c>
      <c r="B439" s="6"/>
      <c r="C439" s="296">
        <v>127</v>
      </c>
      <c r="D439" s="296">
        <v>151295.41669021899</v>
      </c>
      <c r="E439" s="297">
        <v>28900.104560849701</v>
      </c>
      <c r="F439" s="298">
        <v>9.3787097461474591</v>
      </c>
      <c r="G439" s="299">
        <v>1.7707249669914</v>
      </c>
    </row>
    <row r="440" spans="1:7" x14ac:dyDescent="0.25">
      <c r="A440" s="11" t="s">
        <v>6298</v>
      </c>
      <c r="B440" s="11"/>
      <c r="C440" s="300">
        <v>94</v>
      </c>
      <c r="D440" s="300">
        <v>63454.493383659203</v>
      </c>
      <c r="E440" s="301">
        <v>10424.527853882801</v>
      </c>
      <c r="F440" s="302">
        <v>3.93350498351644</v>
      </c>
      <c r="G440" s="303">
        <v>0.63017789992441398</v>
      </c>
    </row>
    <row r="441" spans="1:7" x14ac:dyDescent="0.25">
      <c r="A441" s="6" t="s">
        <v>6297</v>
      </c>
      <c r="B441" s="6"/>
      <c r="C441" s="296">
        <v>44</v>
      </c>
      <c r="D441" s="296">
        <v>33142.209398931198</v>
      </c>
      <c r="E441" s="297">
        <v>4846.9146271133404</v>
      </c>
      <c r="F441" s="298">
        <v>2.0544651589482701</v>
      </c>
      <c r="G441" s="299">
        <v>0.29620806978101599</v>
      </c>
    </row>
    <row r="442" spans="1:7" x14ac:dyDescent="0.25">
      <c r="A442" s="11" t="s">
        <v>6300</v>
      </c>
      <c r="B442" s="11"/>
      <c r="C442" s="300">
        <v>50</v>
      </c>
      <c r="D442" s="300">
        <v>21650.233883146899</v>
      </c>
      <c r="E442" s="301">
        <v>6690.79082717652</v>
      </c>
      <c r="F442" s="302">
        <v>1.34208467095863</v>
      </c>
      <c r="G442" s="303">
        <v>0.41079520997661101</v>
      </c>
    </row>
    <row r="443" spans="1:7" x14ac:dyDescent="0.25">
      <c r="A443" s="6" t="s">
        <v>6299</v>
      </c>
      <c r="B443" s="6"/>
      <c r="C443" s="296">
        <v>18</v>
      </c>
      <c r="D443" s="296">
        <v>13736.877983359</v>
      </c>
      <c r="E443" s="297">
        <v>8244.9007481729805</v>
      </c>
      <c r="F443" s="298">
        <v>0.85154061003684001</v>
      </c>
      <c r="G443" s="299">
        <v>0.50680487457441603</v>
      </c>
    </row>
    <row r="444" spans="1:7" x14ac:dyDescent="0.25">
      <c r="A444" s="11" t="s">
        <v>3054</v>
      </c>
      <c r="B444" s="11"/>
      <c r="C444" s="300">
        <v>5</v>
      </c>
      <c r="D444" s="300">
        <v>11463.563315781999</v>
      </c>
      <c r="E444" s="301">
        <v>8043.4290053609702</v>
      </c>
      <c r="F444" s="302">
        <v>0.71061923320148501</v>
      </c>
      <c r="G444" s="303">
        <v>0.50206727280446095</v>
      </c>
    </row>
    <row r="445" spans="1:7" x14ac:dyDescent="0.25">
      <c r="A445" s="6" t="s">
        <v>1017</v>
      </c>
      <c r="B445" s="6"/>
      <c r="C445" s="296">
        <v>16</v>
      </c>
      <c r="D445" s="296">
        <v>11065.3069256817</v>
      </c>
      <c r="E445" s="297">
        <v>7873.0583699697099</v>
      </c>
      <c r="F445" s="298">
        <v>0.68593156473795902</v>
      </c>
      <c r="G445" s="299">
        <v>0.48744663805996202</v>
      </c>
    </row>
    <row r="446" spans="1:7" x14ac:dyDescent="0.25">
      <c r="A446" s="11" t="s">
        <v>6301</v>
      </c>
      <c r="B446" s="11"/>
      <c r="C446" s="300">
        <v>15</v>
      </c>
      <c r="D446" s="300">
        <v>9720.7919528304901</v>
      </c>
      <c r="E446" s="301">
        <v>5181.2701393616198</v>
      </c>
      <c r="F446" s="302">
        <v>0.60258590922785604</v>
      </c>
      <c r="G446" s="303">
        <v>0.327113317988246</v>
      </c>
    </row>
    <row r="447" spans="1:7" x14ac:dyDescent="0.25">
      <c r="A447" s="6" t="s">
        <v>1029</v>
      </c>
      <c r="B447" s="6"/>
      <c r="C447" s="296">
        <v>7</v>
      </c>
      <c r="D447" s="296">
        <v>8821.5742117046593</v>
      </c>
      <c r="E447" s="297">
        <v>6688.9817239737504</v>
      </c>
      <c r="F447" s="298">
        <v>0.54684395499619998</v>
      </c>
      <c r="G447" s="299">
        <v>0.41561565137562201</v>
      </c>
    </row>
    <row r="448" spans="1:7" x14ac:dyDescent="0.25">
      <c r="A448" s="11" t="s">
        <v>1185</v>
      </c>
      <c r="B448" s="11"/>
      <c r="C448" s="300">
        <v>2</v>
      </c>
      <c r="D448" s="300">
        <v>7554.22000343337</v>
      </c>
      <c r="E448" s="301">
        <v>7270.4577584437502</v>
      </c>
      <c r="F448" s="302">
        <v>0.46828144778375702</v>
      </c>
      <c r="G448" s="303">
        <v>0.44998359809958099</v>
      </c>
    </row>
    <row r="449" spans="1:7" x14ac:dyDescent="0.25">
      <c r="A449" s="6" t="s">
        <v>6304</v>
      </c>
      <c r="B449" s="6"/>
      <c r="C449" s="296">
        <v>6</v>
      </c>
      <c r="D449" s="296">
        <v>7022.6283677071096</v>
      </c>
      <c r="E449" s="297">
        <v>4233.5165691514203</v>
      </c>
      <c r="F449" s="298">
        <v>0.43532840952242902</v>
      </c>
      <c r="G449" s="299">
        <v>0.26002176057124399</v>
      </c>
    </row>
    <row r="450" spans="1:7" x14ac:dyDescent="0.25">
      <c r="A450" s="11" t="s">
        <v>1177</v>
      </c>
      <c r="B450" s="11"/>
      <c r="C450" s="300">
        <v>5</v>
      </c>
      <c r="D450" s="300">
        <v>6433.3360751976597</v>
      </c>
      <c r="E450" s="301">
        <v>5991.0106366188802</v>
      </c>
      <c r="F450" s="302">
        <v>0.39879854306649898</v>
      </c>
      <c r="G450" s="303">
        <v>0.37089496287488</v>
      </c>
    </row>
    <row r="451" spans="1:7" x14ac:dyDescent="0.25">
      <c r="A451" s="6" t="s">
        <v>6303</v>
      </c>
      <c r="B451" s="6"/>
      <c r="C451" s="296">
        <v>16</v>
      </c>
      <c r="D451" s="296">
        <v>4538.3479918482399</v>
      </c>
      <c r="E451" s="297">
        <v>1423.1280071532999</v>
      </c>
      <c r="F451" s="298">
        <v>0.28132939829701697</v>
      </c>
      <c r="G451" s="299">
        <v>8.7323310868044901E-2</v>
      </c>
    </row>
    <row r="452" spans="1:7" x14ac:dyDescent="0.25">
      <c r="A452" s="11" t="s">
        <v>1027</v>
      </c>
      <c r="B452" s="11"/>
      <c r="C452" s="300">
        <v>3</v>
      </c>
      <c r="D452" s="300">
        <v>4369.3473190201903</v>
      </c>
      <c r="E452" s="301">
        <v>4295.8547419414599</v>
      </c>
      <c r="F452" s="302">
        <v>0.27085315062189302</v>
      </c>
      <c r="G452" s="303">
        <v>0.26626190094035301</v>
      </c>
    </row>
    <row r="453" spans="1:7" x14ac:dyDescent="0.25">
      <c r="A453" s="6" t="s">
        <v>3201</v>
      </c>
      <c r="B453" s="6"/>
      <c r="C453" s="296">
        <v>1</v>
      </c>
      <c r="D453" s="296">
        <v>2355.6529287938101</v>
      </c>
      <c r="E453" s="297">
        <v>2366.6935377289601</v>
      </c>
      <c r="F453" s="298">
        <v>0.146025474962372</v>
      </c>
      <c r="G453" s="299">
        <v>0.146884018682194</v>
      </c>
    </row>
    <row r="454" spans="1:7" x14ac:dyDescent="0.25">
      <c r="A454" s="11" t="s">
        <v>6302</v>
      </c>
      <c r="B454" s="11"/>
      <c r="C454" s="300">
        <v>8</v>
      </c>
      <c r="D454" s="300">
        <v>2112.72073586444</v>
      </c>
      <c r="E454" s="301">
        <v>1090.60113337346</v>
      </c>
      <c r="F454" s="302">
        <v>0.13096625786695501</v>
      </c>
      <c r="G454" s="303">
        <v>6.6976123485898501E-2</v>
      </c>
    </row>
    <row r="455" spans="1:7" x14ac:dyDescent="0.25">
      <c r="A455" s="6" t="s">
        <v>1021</v>
      </c>
      <c r="B455" s="6"/>
      <c r="C455" s="296">
        <v>6</v>
      </c>
      <c r="D455" s="296">
        <v>1797.68975679039</v>
      </c>
      <c r="E455" s="297">
        <v>1321.42855216918</v>
      </c>
      <c r="F455" s="298">
        <v>0.111437681401022</v>
      </c>
      <c r="G455" s="299">
        <v>8.1927741730299097E-2</v>
      </c>
    </row>
    <row r="456" spans="1:7" x14ac:dyDescent="0.25">
      <c r="A456" s="11" t="s">
        <v>1181</v>
      </c>
      <c r="B456" s="11"/>
      <c r="C456" s="300">
        <v>1</v>
      </c>
      <c r="D456" s="300">
        <v>1701.89551656051</v>
      </c>
      <c r="E456" s="301">
        <v>1751.7530971962301</v>
      </c>
      <c r="F456" s="302">
        <v>0.10549945541821899</v>
      </c>
      <c r="G456" s="303">
        <v>0.109041938819708</v>
      </c>
    </row>
    <row r="457" spans="1:7" x14ac:dyDescent="0.25">
      <c r="A457" s="6" t="s">
        <v>1179</v>
      </c>
      <c r="B457" s="6"/>
      <c r="C457" s="296">
        <v>2</v>
      </c>
      <c r="D457" s="296">
        <v>1333.15211118105</v>
      </c>
      <c r="E457" s="297">
        <v>1216.5305701677601</v>
      </c>
      <c r="F457" s="298">
        <v>8.2641278709925894E-2</v>
      </c>
      <c r="G457" s="299">
        <v>7.5582070867457302E-2</v>
      </c>
    </row>
    <row r="458" spans="1:7" x14ac:dyDescent="0.25">
      <c r="A458" s="11" t="s">
        <v>1019</v>
      </c>
      <c r="B458" s="11"/>
      <c r="C458" s="300">
        <v>1</v>
      </c>
      <c r="D458" s="300">
        <v>1001.07525318862</v>
      </c>
      <c r="E458" s="301">
        <v>1009.07361693503</v>
      </c>
      <c r="F458" s="302">
        <v>6.2056038702949699E-2</v>
      </c>
      <c r="G458" s="303">
        <v>6.2573318108894105E-2</v>
      </c>
    </row>
    <row r="459" spans="1:7" x14ac:dyDescent="0.25">
      <c r="A459" s="6" t="s">
        <v>3097</v>
      </c>
      <c r="B459" s="6"/>
      <c r="C459" s="296">
        <v>1</v>
      </c>
      <c r="D459" s="296">
        <v>936.43250620121705</v>
      </c>
      <c r="E459" s="297">
        <v>940.04964480138904</v>
      </c>
      <c r="F459" s="298">
        <v>5.8048874610002701E-2</v>
      </c>
      <c r="G459" s="299">
        <v>5.8276627033424303E-2</v>
      </c>
    </row>
    <row r="460" spans="1:7" x14ac:dyDescent="0.25">
      <c r="A460" s="11" t="s">
        <v>1035</v>
      </c>
      <c r="B460" s="11"/>
      <c r="C460" s="300">
        <v>2</v>
      </c>
      <c r="D460" s="300">
        <v>753.25885749258896</v>
      </c>
      <c r="E460" s="301">
        <v>586.99320981275002</v>
      </c>
      <c r="F460" s="302">
        <v>4.6694052884645898E-2</v>
      </c>
      <c r="G460" s="303">
        <v>3.6251160360543502E-2</v>
      </c>
    </row>
    <row r="461" spans="1:7" x14ac:dyDescent="0.25">
      <c r="A461" s="6" t="s">
        <v>1071</v>
      </c>
      <c r="B461" s="6"/>
      <c r="C461" s="296">
        <v>1</v>
      </c>
      <c r="D461" s="296">
        <v>597.88480954252395</v>
      </c>
      <c r="E461" s="297">
        <v>599.83666271007996</v>
      </c>
      <c r="F461" s="298">
        <v>3.7062511297425701E-2</v>
      </c>
      <c r="G461" s="299">
        <v>3.7218256367190401E-2</v>
      </c>
    </row>
    <row r="462" spans="1:7" x14ac:dyDescent="0.25">
      <c r="A462" s="11" t="s">
        <v>3069</v>
      </c>
      <c r="B462" s="11"/>
      <c r="C462" s="300">
        <v>2</v>
      </c>
      <c r="D462" s="300">
        <v>348.42323319559</v>
      </c>
      <c r="E462" s="301">
        <v>256.98286447147001</v>
      </c>
      <c r="F462" s="302">
        <v>2.1598541743313399E-2</v>
      </c>
      <c r="G462" s="303">
        <v>1.5848900679727902E-2</v>
      </c>
    </row>
    <row r="463" spans="1:7" x14ac:dyDescent="0.25">
      <c r="A463" s="6" t="s">
        <v>1075</v>
      </c>
      <c r="B463" s="6"/>
      <c r="C463" s="296">
        <v>1</v>
      </c>
      <c r="D463" s="296">
        <v>205.04457865210901</v>
      </c>
      <c r="E463" s="297">
        <v>214.323897289233</v>
      </c>
      <c r="F463" s="298">
        <v>1.27105872092393E-2</v>
      </c>
      <c r="G463" s="299">
        <v>1.33180505328212E-2</v>
      </c>
    </row>
    <row r="464" spans="1:7" x14ac:dyDescent="0.25">
      <c r="A464" s="11" t="s">
        <v>1085</v>
      </c>
      <c r="B464" s="11"/>
      <c r="C464" s="300">
        <v>1</v>
      </c>
      <c r="D464" s="300">
        <v>158.654009758173</v>
      </c>
      <c r="E464" s="301">
        <v>156.08418696205001</v>
      </c>
      <c r="F464" s="302">
        <v>9.8348644006249208E-3</v>
      </c>
      <c r="G464" s="303">
        <v>9.6668877174612092E-3</v>
      </c>
    </row>
    <row r="465" spans="1:7" x14ac:dyDescent="0.25">
      <c r="A465" s="6" t="s">
        <v>1107</v>
      </c>
      <c r="B465" s="6"/>
      <c r="C465" s="296">
        <v>1</v>
      </c>
      <c r="D465" s="296">
        <v>145.45332631726399</v>
      </c>
      <c r="E465" s="297">
        <v>151.28145585046801</v>
      </c>
      <c r="F465" s="298">
        <v>9.0165621602037501E-3</v>
      </c>
      <c r="G465" s="299">
        <v>9.3944718760276096E-3</v>
      </c>
    </row>
    <row r="466" spans="1:7" x14ac:dyDescent="0.25">
      <c r="A466" s="11" t="s">
        <v>1183</v>
      </c>
      <c r="B466" s="11"/>
      <c r="C466" s="300">
        <v>1</v>
      </c>
      <c r="D466" s="300">
        <v>133.461083989098</v>
      </c>
      <c r="E466" s="301">
        <v>135.93767336631601</v>
      </c>
      <c r="F466" s="302">
        <v>8.2731704404689702E-3</v>
      </c>
      <c r="G466" s="303">
        <v>8.4287308915949807E-3</v>
      </c>
    </row>
    <row r="467" spans="1:7" x14ac:dyDescent="0.25">
      <c r="A467" s="6" t="s">
        <v>1033</v>
      </c>
      <c r="B467" s="6"/>
      <c r="C467" s="296">
        <v>1</v>
      </c>
      <c r="D467" s="296">
        <v>122.16603702549401</v>
      </c>
      <c r="E467" s="297">
        <v>127.990924257183</v>
      </c>
      <c r="F467" s="298">
        <v>7.5729974322036502E-3</v>
      </c>
      <c r="G467" s="299">
        <v>7.9134967089982897E-3</v>
      </c>
    </row>
    <row r="468" spans="1:7" x14ac:dyDescent="0.25">
      <c r="A468" s="11" t="s">
        <v>1079</v>
      </c>
      <c r="B468" s="11"/>
      <c r="C468" s="300">
        <v>1</v>
      </c>
      <c r="D468" s="300">
        <v>119.613428221155</v>
      </c>
      <c r="E468" s="301">
        <v>119.523479344208</v>
      </c>
      <c r="F468" s="302">
        <v>7.4147627837583899E-3</v>
      </c>
      <c r="G468" s="303">
        <v>7.4086784588239399E-3</v>
      </c>
    </row>
    <row r="469" spans="1:7" x14ac:dyDescent="0.25">
      <c r="A469" s="6" t="s">
        <v>1025</v>
      </c>
      <c r="B469" s="6"/>
      <c r="C469" s="296">
        <v>2</v>
      </c>
      <c r="D469" s="296">
        <v>114.20210186673999</v>
      </c>
      <c r="E469" s="297">
        <v>73.276098623722902</v>
      </c>
      <c r="F469" s="298">
        <v>7.0793179941541703E-3</v>
      </c>
      <c r="G469" s="299">
        <v>4.5523394257614798E-3</v>
      </c>
    </row>
    <row r="470" spans="1:7" x14ac:dyDescent="0.25">
      <c r="A470" s="11" t="s">
        <v>982</v>
      </c>
      <c r="B470" s="11" t="s">
        <v>983</v>
      </c>
      <c r="C470" s="300">
        <v>813</v>
      </c>
      <c r="D470" s="300">
        <v>848940.956172926</v>
      </c>
      <c r="E470" s="301">
        <v>40271.618098155603</v>
      </c>
      <c r="F470" s="302">
        <v>99.895554112258495</v>
      </c>
      <c r="G470" s="303">
        <v>4.0841401672146602E-2</v>
      </c>
    </row>
    <row r="471" spans="1:7" x14ac:dyDescent="0.25">
      <c r="A471" s="6" t="s">
        <v>978</v>
      </c>
      <c r="B471" s="6" t="s">
        <v>1047</v>
      </c>
      <c r="C471" s="296">
        <v>4</v>
      </c>
      <c r="D471" s="296">
        <v>701.36075504492396</v>
      </c>
      <c r="E471" s="297">
        <v>311.08679361279502</v>
      </c>
      <c r="F471" s="298">
        <v>8.2529675059678897E-2</v>
      </c>
      <c r="G471" s="299">
        <v>3.7395904351222801E-2</v>
      </c>
    </row>
    <row r="472" spans="1:7" x14ac:dyDescent="0.25">
      <c r="A472" s="11" t="s">
        <v>980</v>
      </c>
      <c r="B472" s="11" t="s">
        <v>1041</v>
      </c>
      <c r="C472" s="300">
        <v>2</v>
      </c>
      <c r="D472" s="300">
        <v>186.250236210569</v>
      </c>
      <c r="E472" s="301">
        <v>188.80186356231499</v>
      </c>
      <c r="F472" s="302">
        <v>2.19162126818204E-2</v>
      </c>
      <c r="G472" s="303">
        <v>2.2142303118974201E-2</v>
      </c>
    </row>
    <row r="473" spans="1:7" x14ac:dyDescent="0.25">
      <c r="A473" s="6" t="s">
        <v>6293</v>
      </c>
      <c r="B473" s="6" t="s">
        <v>6294</v>
      </c>
      <c r="C473" s="296">
        <v>2165</v>
      </c>
      <c r="D473" s="296">
        <v>1613179.4328358199</v>
      </c>
      <c r="E473" s="297">
        <v>40238.250372166302</v>
      </c>
      <c r="F473" s="298">
        <v>65.496313159998607</v>
      </c>
      <c r="G473" s="299">
        <v>1.6337036003198799</v>
      </c>
    </row>
    <row r="474" spans="1:7" x14ac:dyDescent="0.25">
      <c r="A474" s="11" t="s">
        <v>6293</v>
      </c>
      <c r="B474" s="11" t="s">
        <v>6295</v>
      </c>
      <c r="C474" s="300">
        <v>2984</v>
      </c>
      <c r="D474" s="300">
        <v>2463008</v>
      </c>
      <c r="E474" s="301">
        <v>0</v>
      </c>
      <c r="F474" s="302">
        <v>100</v>
      </c>
      <c r="G474" s="303">
        <v>0</v>
      </c>
    </row>
    <row r="475" spans="1:7" x14ac:dyDescent="0.25">
      <c r="A475" s="3353" t="s">
        <v>351</v>
      </c>
      <c r="B475" s="3354"/>
      <c r="C475" s="3354"/>
      <c r="D475" s="3354"/>
      <c r="E475" s="3354"/>
      <c r="F475" s="3354"/>
      <c r="G475" s="3354"/>
    </row>
    <row r="476" spans="1:7" x14ac:dyDescent="0.25">
      <c r="A476" s="11" t="s">
        <v>984</v>
      </c>
      <c r="B476" s="11" t="s">
        <v>3127</v>
      </c>
      <c r="C476" s="308">
        <v>1953</v>
      </c>
      <c r="D476" s="308">
        <v>1365474.67852587</v>
      </c>
      <c r="E476" s="309">
        <v>46929.506260540198</v>
      </c>
      <c r="F476" s="310">
        <v>84.598386649926596</v>
      </c>
      <c r="G476" s="311">
        <v>1.7180123938273599</v>
      </c>
    </row>
    <row r="477" spans="1:7" x14ac:dyDescent="0.25">
      <c r="A477" s="6" t="s">
        <v>990</v>
      </c>
      <c r="B477" s="6" t="s">
        <v>3129</v>
      </c>
      <c r="C477" s="304">
        <v>177</v>
      </c>
      <c r="D477" s="304">
        <v>188535.01043058999</v>
      </c>
      <c r="E477" s="305">
        <v>23486.060978921301</v>
      </c>
      <c r="F477" s="306">
        <v>11.680742206566499</v>
      </c>
      <c r="G477" s="307">
        <v>1.45416063465975</v>
      </c>
    </row>
    <row r="478" spans="1:7" x14ac:dyDescent="0.25">
      <c r="A478" s="11" t="s">
        <v>986</v>
      </c>
      <c r="B478" s="11" t="s">
        <v>84</v>
      </c>
      <c r="C478" s="308">
        <v>13</v>
      </c>
      <c r="D478" s="308">
        <v>39761.090655252301</v>
      </c>
      <c r="E478" s="309">
        <v>17791.357818484899</v>
      </c>
      <c r="F478" s="310">
        <v>2.46341010476094</v>
      </c>
      <c r="G478" s="311">
        <v>1.1012414872373</v>
      </c>
    </row>
    <row r="479" spans="1:7" x14ac:dyDescent="0.25">
      <c r="A479" s="6" t="s">
        <v>992</v>
      </c>
      <c r="B479" s="6" t="s">
        <v>1006</v>
      </c>
      <c r="C479" s="304">
        <v>25</v>
      </c>
      <c r="D479" s="304">
        <v>20029.154074017799</v>
      </c>
      <c r="E479" s="305">
        <v>10637.8506978511</v>
      </c>
      <c r="F479" s="306">
        <v>1.24091215111655</v>
      </c>
      <c r="G479" s="307">
        <v>0.662399034169873</v>
      </c>
    </row>
    <row r="480" spans="1:7" x14ac:dyDescent="0.25">
      <c r="A480" s="11" t="s">
        <v>988</v>
      </c>
      <c r="B480" s="11" t="s">
        <v>3128</v>
      </c>
      <c r="C480" s="308">
        <v>6</v>
      </c>
      <c r="D480" s="308">
        <v>267.110141346668</v>
      </c>
      <c r="E480" s="309">
        <v>128.24371102709401</v>
      </c>
      <c r="F480" s="310">
        <v>1.6548887629433899E-2</v>
      </c>
      <c r="G480" s="311">
        <v>7.8615006633297405E-3</v>
      </c>
    </row>
    <row r="481" spans="1:7" x14ac:dyDescent="0.25">
      <c r="A481" s="6" t="s">
        <v>982</v>
      </c>
      <c r="B481" s="6" t="s">
        <v>983</v>
      </c>
      <c r="C481" s="304">
        <v>813</v>
      </c>
      <c r="D481" s="304">
        <v>848940.956172926</v>
      </c>
      <c r="E481" s="305">
        <v>40271.618098155603</v>
      </c>
      <c r="F481" s="306">
        <v>100</v>
      </c>
      <c r="G481" s="307">
        <v>0</v>
      </c>
    </row>
    <row r="482" spans="1:7" x14ac:dyDescent="0.25">
      <c r="A482" s="11" t="s">
        <v>6293</v>
      </c>
      <c r="B482" s="11" t="s">
        <v>6294</v>
      </c>
      <c r="C482" s="308">
        <v>2174</v>
      </c>
      <c r="D482" s="308">
        <v>1614067.0438270699</v>
      </c>
      <c r="E482" s="309">
        <v>40271.618098156199</v>
      </c>
      <c r="F482" s="310">
        <v>65.532350842022197</v>
      </c>
      <c r="G482" s="311">
        <v>1.6350583553994</v>
      </c>
    </row>
    <row r="483" spans="1:7" x14ac:dyDescent="0.25">
      <c r="A483" s="6" t="s">
        <v>6293</v>
      </c>
      <c r="B483" s="6" t="s">
        <v>6295</v>
      </c>
      <c r="C483" s="304">
        <v>2987</v>
      </c>
      <c r="D483" s="304">
        <v>2463008</v>
      </c>
      <c r="E483" s="305">
        <v>0</v>
      </c>
      <c r="F483" s="306">
        <v>100</v>
      </c>
      <c r="G483" s="307">
        <v>0</v>
      </c>
    </row>
    <row r="484" spans="1:7" x14ac:dyDescent="0.25">
      <c r="A484" s="3353" t="s">
        <v>346</v>
      </c>
      <c r="B484" s="3354"/>
      <c r="C484" s="3354"/>
      <c r="D484" s="3354"/>
      <c r="E484" s="3354"/>
      <c r="F484" s="3354"/>
      <c r="G484" s="3354"/>
    </row>
    <row r="485" spans="1:7" x14ac:dyDescent="0.25">
      <c r="A485" s="11" t="s">
        <v>982</v>
      </c>
      <c r="B485" s="11" t="s">
        <v>983</v>
      </c>
      <c r="C485" s="316">
        <v>813</v>
      </c>
      <c r="D485" s="316">
        <v>848940.956172926</v>
      </c>
      <c r="E485" s="317">
        <v>40271.618098155603</v>
      </c>
      <c r="F485" s="318">
        <v>100</v>
      </c>
      <c r="G485" s="319">
        <v>0</v>
      </c>
    </row>
    <row r="486" spans="1:7" x14ac:dyDescent="0.25">
      <c r="A486" s="6" t="s">
        <v>6293</v>
      </c>
      <c r="B486" s="6" t="s">
        <v>6294</v>
      </c>
      <c r="C486" s="312">
        <v>2081</v>
      </c>
      <c r="D486" s="312">
        <v>1614067.0438270699</v>
      </c>
      <c r="E486" s="313">
        <v>40271.618098154999</v>
      </c>
      <c r="F486" s="314">
        <v>65.532350842022197</v>
      </c>
      <c r="G486" s="315">
        <v>1.6350583553994</v>
      </c>
    </row>
    <row r="487" spans="1:7" x14ac:dyDescent="0.25">
      <c r="A487" s="11" t="s">
        <v>6293</v>
      </c>
      <c r="B487" s="11" t="s">
        <v>6295</v>
      </c>
      <c r="C487" s="316">
        <v>2894</v>
      </c>
      <c r="D487" s="316">
        <v>2463008</v>
      </c>
      <c r="E487" s="317">
        <v>0</v>
      </c>
      <c r="F487" s="318">
        <v>100</v>
      </c>
      <c r="G487" s="319">
        <v>0</v>
      </c>
    </row>
    <row r="488" spans="1:7" x14ac:dyDescent="0.25">
      <c r="A488" s="3353" t="s">
        <v>354</v>
      </c>
      <c r="B488" s="3354"/>
      <c r="C488" s="3354"/>
      <c r="D488" s="3354"/>
      <c r="E488" s="3354"/>
      <c r="F488" s="3354"/>
      <c r="G488" s="3354"/>
    </row>
    <row r="489" spans="1:7" x14ac:dyDescent="0.25">
      <c r="A489" s="11" t="s">
        <v>982</v>
      </c>
      <c r="B489" s="11" t="s">
        <v>983</v>
      </c>
      <c r="C489" s="324">
        <v>813</v>
      </c>
      <c r="D489" s="324">
        <v>848940.956172926</v>
      </c>
      <c r="E489" s="325">
        <v>40271.618098155603</v>
      </c>
      <c r="F489" s="326">
        <v>100</v>
      </c>
      <c r="G489" s="327">
        <v>0</v>
      </c>
    </row>
    <row r="490" spans="1:7" x14ac:dyDescent="0.25">
      <c r="A490" s="6" t="s">
        <v>6293</v>
      </c>
      <c r="B490" s="6" t="s">
        <v>6294</v>
      </c>
      <c r="C490" s="320">
        <v>2154</v>
      </c>
      <c r="D490" s="320">
        <v>1614067.0438270699</v>
      </c>
      <c r="E490" s="321">
        <v>40271.618098155202</v>
      </c>
      <c r="F490" s="322">
        <v>65.532350842022197</v>
      </c>
      <c r="G490" s="323">
        <v>1.63505835539939</v>
      </c>
    </row>
    <row r="491" spans="1:7" x14ac:dyDescent="0.25">
      <c r="A491" s="11" t="s">
        <v>6293</v>
      </c>
      <c r="B491" s="11" t="s">
        <v>6295</v>
      </c>
      <c r="C491" s="324">
        <v>2967</v>
      </c>
      <c r="D491" s="324">
        <v>2463008</v>
      </c>
      <c r="E491" s="325">
        <v>0</v>
      </c>
      <c r="F491" s="326">
        <v>100</v>
      </c>
      <c r="G491" s="327">
        <v>0</v>
      </c>
    </row>
    <row r="492" spans="1:7" x14ac:dyDescent="0.25">
      <c r="A492" s="3353" t="s">
        <v>299</v>
      </c>
      <c r="B492" s="3354"/>
      <c r="C492" s="3354"/>
      <c r="D492" s="3354"/>
      <c r="E492" s="3354"/>
      <c r="F492" s="3354"/>
      <c r="G492" s="3354"/>
    </row>
    <row r="493" spans="1:7" x14ac:dyDescent="0.25">
      <c r="A493" s="11" t="s">
        <v>984</v>
      </c>
      <c r="B493" s="11" t="s">
        <v>3113</v>
      </c>
      <c r="C493" s="332">
        <v>996</v>
      </c>
      <c r="D493" s="332">
        <v>795358.11048022297</v>
      </c>
      <c r="E493" s="333">
        <v>30414.900617552801</v>
      </c>
      <c r="F493" s="334">
        <v>100</v>
      </c>
      <c r="G493" s="335">
        <v>0</v>
      </c>
    </row>
    <row r="494" spans="1:7" x14ac:dyDescent="0.25">
      <c r="A494" s="6" t="s">
        <v>982</v>
      </c>
      <c r="B494" s="6" t="s">
        <v>983</v>
      </c>
      <c r="C494" s="328">
        <v>1991</v>
      </c>
      <c r="D494" s="328">
        <v>1667649.8895197799</v>
      </c>
      <c r="E494" s="329">
        <v>30414.900617552401</v>
      </c>
      <c r="F494" s="330">
        <v>100</v>
      </c>
      <c r="G494" s="331">
        <v>0</v>
      </c>
    </row>
    <row r="495" spans="1:7" x14ac:dyDescent="0.25">
      <c r="A495" s="11" t="s">
        <v>6293</v>
      </c>
      <c r="B495" s="11" t="s">
        <v>6294</v>
      </c>
      <c r="C495" s="332">
        <v>996</v>
      </c>
      <c r="D495" s="332">
        <v>795358.11048022297</v>
      </c>
      <c r="E495" s="333">
        <v>30414.900617552801</v>
      </c>
      <c r="F495" s="334">
        <v>32.292144827796903</v>
      </c>
      <c r="G495" s="335">
        <v>1.23486812131965</v>
      </c>
    </row>
    <row r="496" spans="1:7" x14ac:dyDescent="0.25">
      <c r="A496" s="6" t="s">
        <v>6293</v>
      </c>
      <c r="B496" s="6" t="s">
        <v>6295</v>
      </c>
      <c r="C496" s="328">
        <v>2987</v>
      </c>
      <c r="D496" s="328">
        <v>2463008</v>
      </c>
      <c r="E496" s="329">
        <v>0</v>
      </c>
      <c r="F496" s="330">
        <v>100</v>
      </c>
      <c r="G496" s="331">
        <v>0</v>
      </c>
    </row>
    <row r="497" spans="1:7" x14ac:dyDescent="0.25">
      <c r="A497" s="3353" t="s">
        <v>306</v>
      </c>
      <c r="B497" s="3354"/>
      <c r="C497" s="3354"/>
      <c r="D497" s="3354"/>
      <c r="E497" s="3354"/>
      <c r="F497" s="3354"/>
      <c r="G497" s="3354"/>
    </row>
    <row r="498" spans="1:7" x14ac:dyDescent="0.25">
      <c r="A498" s="11" t="s">
        <v>986</v>
      </c>
      <c r="B498" s="11" t="s">
        <v>3114</v>
      </c>
      <c r="C498" s="340">
        <v>2405</v>
      </c>
      <c r="D498" s="340">
        <v>1858418.3185157201</v>
      </c>
      <c r="E498" s="341">
        <v>48493.186407464797</v>
      </c>
      <c r="F498" s="342">
        <v>100</v>
      </c>
      <c r="G498" s="343">
        <v>0</v>
      </c>
    </row>
    <row r="499" spans="1:7" x14ac:dyDescent="0.25">
      <c r="A499" s="6" t="s">
        <v>982</v>
      </c>
      <c r="B499" s="6" t="s">
        <v>983</v>
      </c>
      <c r="C499" s="336">
        <v>582</v>
      </c>
      <c r="D499" s="336">
        <v>604589.68148428504</v>
      </c>
      <c r="E499" s="337">
        <v>48493.186407464404</v>
      </c>
      <c r="F499" s="338">
        <v>100</v>
      </c>
      <c r="G499" s="339">
        <v>0</v>
      </c>
    </row>
    <row r="500" spans="1:7" x14ac:dyDescent="0.25">
      <c r="A500" s="11" t="s">
        <v>6293</v>
      </c>
      <c r="B500" s="11" t="s">
        <v>6294</v>
      </c>
      <c r="C500" s="340">
        <v>2405</v>
      </c>
      <c r="D500" s="340">
        <v>1858418.3185157201</v>
      </c>
      <c r="E500" s="341">
        <v>48493.186407464797</v>
      </c>
      <c r="F500" s="342">
        <v>75.453198630118706</v>
      </c>
      <c r="G500" s="343">
        <v>1.9688602882111801</v>
      </c>
    </row>
    <row r="501" spans="1:7" x14ac:dyDescent="0.25">
      <c r="A501" s="6" t="s">
        <v>6293</v>
      </c>
      <c r="B501" s="6" t="s">
        <v>6295</v>
      </c>
      <c r="C501" s="336">
        <v>2987</v>
      </c>
      <c r="D501" s="336">
        <v>2463008</v>
      </c>
      <c r="E501" s="337">
        <v>0</v>
      </c>
      <c r="F501" s="338">
        <v>100</v>
      </c>
      <c r="G501" s="339">
        <v>0</v>
      </c>
    </row>
    <row r="502" spans="1:7" x14ac:dyDescent="0.25">
      <c r="A502" s="3353" t="s">
        <v>308</v>
      </c>
      <c r="B502" s="3354"/>
      <c r="C502" s="3354"/>
      <c r="D502" s="3354"/>
      <c r="E502" s="3354"/>
      <c r="F502" s="3354"/>
      <c r="G502" s="3354"/>
    </row>
    <row r="503" spans="1:7" x14ac:dyDescent="0.25">
      <c r="A503" s="11" t="s">
        <v>988</v>
      </c>
      <c r="B503" s="11" t="s">
        <v>3115</v>
      </c>
      <c r="C503" s="348">
        <v>1268</v>
      </c>
      <c r="D503" s="348">
        <v>1209065.24750693</v>
      </c>
      <c r="E503" s="349">
        <v>46346.6595162218</v>
      </c>
      <c r="F503" s="350">
        <v>100</v>
      </c>
      <c r="G503" s="351">
        <v>0</v>
      </c>
    </row>
    <row r="504" spans="1:7" x14ac:dyDescent="0.25">
      <c r="A504" s="6" t="s">
        <v>982</v>
      </c>
      <c r="B504" s="6" t="s">
        <v>983</v>
      </c>
      <c r="C504" s="344">
        <v>1719</v>
      </c>
      <c r="D504" s="344">
        <v>1253942.75249307</v>
      </c>
      <c r="E504" s="345">
        <v>46346.659516220199</v>
      </c>
      <c r="F504" s="346">
        <v>100</v>
      </c>
      <c r="G504" s="347">
        <v>0</v>
      </c>
    </row>
    <row r="505" spans="1:7" x14ac:dyDescent="0.25">
      <c r="A505" s="11" t="s">
        <v>6293</v>
      </c>
      <c r="B505" s="11" t="s">
        <v>6294</v>
      </c>
      <c r="C505" s="348">
        <v>1268</v>
      </c>
      <c r="D505" s="348">
        <v>1209065.24750693</v>
      </c>
      <c r="E505" s="349">
        <v>46346.6595162218</v>
      </c>
      <c r="F505" s="350">
        <v>49.088969565138697</v>
      </c>
      <c r="G505" s="351">
        <v>1.8817096621781599</v>
      </c>
    </row>
    <row r="506" spans="1:7" x14ac:dyDescent="0.25">
      <c r="A506" s="6" t="s">
        <v>6293</v>
      </c>
      <c r="B506" s="6" t="s">
        <v>6295</v>
      </c>
      <c r="C506" s="344">
        <v>2987</v>
      </c>
      <c r="D506" s="344">
        <v>2463008</v>
      </c>
      <c r="E506" s="345">
        <v>0</v>
      </c>
      <c r="F506" s="346">
        <v>100</v>
      </c>
      <c r="G506" s="347">
        <v>0</v>
      </c>
    </row>
    <row r="507" spans="1:7" x14ac:dyDescent="0.25">
      <c r="A507" s="3353" t="s">
        <v>311</v>
      </c>
      <c r="B507" s="3354"/>
      <c r="C507" s="3354"/>
      <c r="D507" s="3354"/>
      <c r="E507" s="3354"/>
      <c r="F507" s="3354"/>
      <c r="G507" s="3354"/>
    </row>
    <row r="508" spans="1:7" x14ac:dyDescent="0.25">
      <c r="A508" s="11" t="s">
        <v>990</v>
      </c>
      <c r="B508" s="11" t="s">
        <v>3116</v>
      </c>
      <c r="C508" s="356">
        <v>496</v>
      </c>
      <c r="D508" s="356">
        <v>386229.36557532201</v>
      </c>
      <c r="E508" s="357">
        <v>42934.803700917997</v>
      </c>
      <c r="F508" s="358">
        <v>100</v>
      </c>
      <c r="G508" s="359">
        <v>0</v>
      </c>
    </row>
    <row r="509" spans="1:7" x14ac:dyDescent="0.25">
      <c r="A509" s="6" t="s">
        <v>982</v>
      </c>
      <c r="B509" s="6" t="s">
        <v>983</v>
      </c>
      <c r="C509" s="352">
        <v>2491</v>
      </c>
      <c r="D509" s="352">
        <v>2076778.6344246799</v>
      </c>
      <c r="E509" s="353">
        <v>42934.8037009162</v>
      </c>
      <c r="F509" s="354">
        <v>100</v>
      </c>
      <c r="G509" s="355">
        <v>0</v>
      </c>
    </row>
    <row r="510" spans="1:7" x14ac:dyDescent="0.25">
      <c r="A510" s="11" t="s">
        <v>6293</v>
      </c>
      <c r="B510" s="11" t="s">
        <v>6294</v>
      </c>
      <c r="C510" s="356">
        <v>496</v>
      </c>
      <c r="D510" s="356">
        <v>386229.36557532201</v>
      </c>
      <c r="E510" s="357">
        <v>42934.803700917997</v>
      </c>
      <c r="F510" s="358">
        <v>15.6812062963385</v>
      </c>
      <c r="G510" s="359">
        <v>1.7431857184758499</v>
      </c>
    </row>
    <row r="511" spans="1:7" x14ac:dyDescent="0.25">
      <c r="A511" s="6" t="s">
        <v>6293</v>
      </c>
      <c r="B511" s="6" t="s">
        <v>6295</v>
      </c>
      <c r="C511" s="352">
        <v>2987</v>
      </c>
      <c r="D511" s="352">
        <v>2463008</v>
      </c>
      <c r="E511" s="353">
        <v>0</v>
      </c>
      <c r="F511" s="354">
        <v>100</v>
      </c>
      <c r="G511" s="355">
        <v>0</v>
      </c>
    </row>
    <row r="512" spans="1:7" x14ac:dyDescent="0.25">
      <c r="A512" s="3353" t="s">
        <v>314</v>
      </c>
      <c r="B512" s="3354"/>
      <c r="C512" s="3354"/>
      <c r="D512" s="3354"/>
      <c r="E512" s="3354"/>
      <c r="F512" s="3354"/>
      <c r="G512" s="3354"/>
    </row>
    <row r="513" spans="1:7" x14ac:dyDescent="0.25">
      <c r="A513" s="11" t="s">
        <v>982</v>
      </c>
      <c r="B513" s="11" t="s">
        <v>983</v>
      </c>
      <c r="C513" s="364">
        <v>2987</v>
      </c>
      <c r="D513" s="364">
        <v>2463008</v>
      </c>
      <c r="E513" s="365">
        <v>4.30277076979038E-8</v>
      </c>
      <c r="F513" s="366">
        <v>100</v>
      </c>
      <c r="G513" s="367">
        <v>0</v>
      </c>
    </row>
    <row r="514" spans="1:7" x14ac:dyDescent="0.25">
      <c r="A514" s="6" t="s">
        <v>6293</v>
      </c>
      <c r="B514" s="6" t="s">
        <v>6294</v>
      </c>
      <c r="C514" s="360">
        <v>0</v>
      </c>
      <c r="D514" s="360">
        <v>0</v>
      </c>
      <c r="E514" s="361">
        <v>0</v>
      </c>
      <c r="F514" s="362">
        <v>0</v>
      </c>
      <c r="G514" s="363">
        <v>0</v>
      </c>
    </row>
    <row r="515" spans="1:7" x14ac:dyDescent="0.25">
      <c r="A515" s="11" t="s">
        <v>6293</v>
      </c>
      <c r="B515" s="11" t="s">
        <v>6295</v>
      </c>
      <c r="C515" s="364">
        <v>2987</v>
      </c>
      <c r="D515" s="364">
        <v>2463008</v>
      </c>
      <c r="E515" s="365">
        <v>0</v>
      </c>
      <c r="F515" s="366">
        <v>100</v>
      </c>
      <c r="G515" s="367">
        <v>0</v>
      </c>
    </row>
    <row r="516" spans="1:7" x14ac:dyDescent="0.25">
      <c r="A516" s="3353" t="s">
        <v>316</v>
      </c>
      <c r="B516" s="3354"/>
      <c r="C516" s="3354"/>
      <c r="D516" s="3354"/>
      <c r="E516" s="3354"/>
      <c r="F516" s="3354"/>
      <c r="G516" s="3354"/>
    </row>
    <row r="517" spans="1:7" x14ac:dyDescent="0.25">
      <c r="A517" s="11" t="s">
        <v>994</v>
      </c>
      <c r="B517" s="11" t="s">
        <v>3118</v>
      </c>
      <c r="C517" s="372">
        <v>356</v>
      </c>
      <c r="D517" s="372">
        <v>418834.72752314701</v>
      </c>
      <c r="E517" s="373">
        <v>47536.9392869125</v>
      </c>
      <c r="F517" s="374">
        <v>100</v>
      </c>
      <c r="G517" s="375">
        <v>0</v>
      </c>
    </row>
    <row r="518" spans="1:7" x14ac:dyDescent="0.25">
      <c r="A518" s="6" t="s">
        <v>982</v>
      </c>
      <c r="B518" s="6" t="s">
        <v>983</v>
      </c>
      <c r="C518" s="368">
        <v>2631</v>
      </c>
      <c r="D518" s="368">
        <v>2044173.2724768501</v>
      </c>
      <c r="E518" s="369">
        <v>47536.9392869117</v>
      </c>
      <c r="F518" s="370">
        <v>100</v>
      </c>
      <c r="G518" s="371">
        <v>0</v>
      </c>
    </row>
    <row r="519" spans="1:7" x14ac:dyDescent="0.25">
      <c r="A519" s="11" t="s">
        <v>6293</v>
      </c>
      <c r="B519" s="11" t="s">
        <v>6294</v>
      </c>
      <c r="C519" s="372">
        <v>356</v>
      </c>
      <c r="D519" s="372">
        <v>418834.72752314701</v>
      </c>
      <c r="E519" s="373">
        <v>47536.9392869125</v>
      </c>
      <c r="F519" s="374">
        <v>17.005008815365098</v>
      </c>
      <c r="G519" s="375">
        <v>1.9300359270823499</v>
      </c>
    </row>
    <row r="520" spans="1:7" x14ac:dyDescent="0.25">
      <c r="A520" s="6" t="s">
        <v>6293</v>
      </c>
      <c r="B520" s="6" t="s">
        <v>6295</v>
      </c>
      <c r="C520" s="368">
        <v>2987</v>
      </c>
      <c r="D520" s="368">
        <v>2463008</v>
      </c>
      <c r="E520" s="369">
        <v>0</v>
      </c>
      <c r="F520" s="370">
        <v>100</v>
      </c>
      <c r="G520" s="371">
        <v>0</v>
      </c>
    </row>
    <row r="521" spans="1:7" x14ac:dyDescent="0.25">
      <c r="A521" s="3353" t="s">
        <v>319</v>
      </c>
      <c r="B521" s="3354"/>
      <c r="C521" s="3354"/>
      <c r="D521" s="3354"/>
      <c r="E521" s="3354"/>
      <c r="F521" s="3354"/>
      <c r="G521" s="3354"/>
    </row>
    <row r="522" spans="1:7" x14ac:dyDescent="0.25">
      <c r="A522" s="11" t="s">
        <v>1003</v>
      </c>
      <c r="B522" s="11" t="s">
        <v>3119</v>
      </c>
      <c r="C522" s="380">
        <v>724</v>
      </c>
      <c r="D522" s="380">
        <v>639000.02094485902</v>
      </c>
      <c r="E522" s="381">
        <v>56303.916571340698</v>
      </c>
      <c r="F522" s="382">
        <v>100</v>
      </c>
      <c r="G522" s="383">
        <v>0</v>
      </c>
    </row>
    <row r="523" spans="1:7" x14ac:dyDescent="0.25">
      <c r="A523" s="6" t="s">
        <v>982</v>
      </c>
      <c r="B523" s="6" t="s">
        <v>983</v>
      </c>
      <c r="C523" s="376">
        <v>2263</v>
      </c>
      <c r="D523" s="376">
        <v>1824007.9790551399</v>
      </c>
      <c r="E523" s="377">
        <v>56303.916571340502</v>
      </c>
      <c r="F523" s="378">
        <v>100</v>
      </c>
      <c r="G523" s="379">
        <v>0</v>
      </c>
    </row>
    <row r="524" spans="1:7" x14ac:dyDescent="0.25">
      <c r="A524" s="11" t="s">
        <v>6293</v>
      </c>
      <c r="B524" s="11" t="s">
        <v>6294</v>
      </c>
      <c r="C524" s="380">
        <v>724</v>
      </c>
      <c r="D524" s="380">
        <v>639000.02094485902</v>
      </c>
      <c r="E524" s="381">
        <v>56303.916571340698</v>
      </c>
      <c r="F524" s="382">
        <v>25.943887350136901</v>
      </c>
      <c r="G524" s="383">
        <v>2.28598187952863</v>
      </c>
    </row>
    <row r="525" spans="1:7" x14ac:dyDescent="0.25">
      <c r="A525" s="6" t="s">
        <v>6293</v>
      </c>
      <c r="B525" s="6" t="s">
        <v>6295</v>
      </c>
      <c r="C525" s="376">
        <v>2987</v>
      </c>
      <c r="D525" s="376">
        <v>2463008</v>
      </c>
      <c r="E525" s="377">
        <v>0</v>
      </c>
      <c r="F525" s="378">
        <v>100</v>
      </c>
      <c r="G525" s="379">
        <v>0</v>
      </c>
    </row>
    <row r="526" spans="1:7" x14ac:dyDescent="0.25">
      <c r="A526" s="3353" t="s">
        <v>321</v>
      </c>
      <c r="B526" s="3354"/>
      <c r="C526" s="3354"/>
      <c r="D526" s="3354"/>
      <c r="E526" s="3354"/>
      <c r="F526" s="3354"/>
      <c r="G526" s="3354"/>
    </row>
    <row r="527" spans="1:7" x14ac:dyDescent="0.25">
      <c r="A527" s="11" t="s">
        <v>982</v>
      </c>
      <c r="B527" s="11" t="s">
        <v>983</v>
      </c>
      <c r="C527" s="388">
        <v>2987</v>
      </c>
      <c r="D527" s="388">
        <v>2463008</v>
      </c>
      <c r="E527" s="389">
        <v>4.30277076979038E-8</v>
      </c>
      <c r="F527" s="390">
        <v>100</v>
      </c>
      <c r="G527" s="391">
        <v>0</v>
      </c>
    </row>
    <row r="528" spans="1:7" x14ac:dyDescent="0.25">
      <c r="A528" s="6" t="s">
        <v>6293</v>
      </c>
      <c r="B528" s="6" t="s">
        <v>6294</v>
      </c>
      <c r="C528" s="384">
        <v>0</v>
      </c>
      <c r="D528" s="384">
        <v>0</v>
      </c>
      <c r="E528" s="385">
        <v>0</v>
      </c>
      <c r="F528" s="386">
        <v>0</v>
      </c>
      <c r="G528" s="387">
        <v>0</v>
      </c>
    </row>
    <row r="529" spans="1:7" x14ac:dyDescent="0.25">
      <c r="A529" s="11" t="s">
        <v>6293</v>
      </c>
      <c r="B529" s="11" t="s">
        <v>6295</v>
      </c>
      <c r="C529" s="388">
        <v>2987</v>
      </c>
      <c r="D529" s="388">
        <v>2463008</v>
      </c>
      <c r="E529" s="389">
        <v>0</v>
      </c>
      <c r="F529" s="390">
        <v>100</v>
      </c>
      <c r="G529" s="391">
        <v>0</v>
      </c>
    </row>
    <row r="530" spans="1:7" x14ac:dyDescent="0.25">
      <c r="A530" s="3353" t="s">
        <v>323</v>
      </c>
      <c r="B530" s="3354"/>
      <c r="C530" s="3354"/>
      <c r="D530" s="3354"/>
      <c r="E530" s="3354"/>
      <c r="F530" s="3354"/>
      <c r="G530" s="3354"/>
    </row>
    <row r="531" spans="1:7" x14ac:dyDescent="0.25">
      <c r="A531" s="11" t="s">
        <v>1015</v>
      </c>
      <c r="B531" s="11" t="s">
        <v>3121</v>
      </c>
      <c r="C531" s="396">
        <v>418</v>
      </c>
      <c r="D531" s="396">
        <v>376155.40240425401</v>
      </c>
      <c r="E531" s="397">
        <v>37009.977716957997</v>
      </c>
      <c r="F531" s="398">
        <v>100</v>
      </c>
      <c r="G531" s="399">
        <v>0</v>
      </c>
    </row>
    <row r="532" spans="1:7" x14ac:dyDescent="0.25">
      <c r="A532" s="6" t="s">
        <v>982</v>
      </c>
      <c r="B532" s="6" t="s">
        <v>983</v>
      </c>
      <c r="C532" s="392">
        <v>2569</v>
      </c>
      <c r="D532" s="392">
        <v>2086852.5975957499</v>
      </c>
      <c r="E532" s="393">
        <v>37009.9777169601</v>
      </c>
      <c r="F532" s="394">
        <v>100</v>
      </c>
      <c r="G532" s="395">
        <v>0</v>
      </c>
    </row>
    <row r="533" spans="1:7" x14ac:dyDescent="0.25">
      <c r="A533" s="11" t="s">
        <v>6293</v>
      </c>
      <c r="B533" s="11" t="s">
        <v>6294</v>
      </c>
      <c r="C533" s="396">
        <v>418</v>
      </c>
      <c r="D533" s="396">
        <v>376155.40240425401</v>
      </c>
      <c r="E533" s="397">
        <v>37009.977716957997</v>
      </c>
      <c r="F533" s="398">
        <v>15.2721957218269</v>
      </c>
      <c r="G533" s="399">
        <v>1.5026332726876399</v>
      </c>
    </row>
    <row r="534" spans="1:7" x14ac:dyDescent="0.25">
      <c r="A534" s="6" t="s">
        <v>6293</v>
      </c>
      <c r="B534" s="6" t="s">
        <v>6295</v>
      </c>
      <c r="C534" s="392">
        <v>2987</v>
      </c>
      <c r="D534" s="392">
        <v>2463008</v>
      </c>
      <c r="E534" s="393">
        <v>0</v>
      </c>
      <c r="F534" s="394">
        <v>100</v>
      </c>
      <c r="G534" s="395">
        <v>0</v>
      </c>
    </row>
    <row r="535" spans="1:7" x14ac:dyDescent="0.25">
      <c r="A535" s="3353" t="s">
        <v>303</v>
      </c>
      <c r="B535" s="3354"/>
      <c r="C535" s="3354"/>
      <c r="D535" s="3354"/>
      <c r="E535" s="3354"/>
      <c r="F535" s="3354"/>
      <c r="G535" s="3354"/>
    </row>
    <row r="536" spans="1:7" x14ac:dyDescent="0.25">
      <c r="A536" s="11" t="s">
        <v>1017</v>
      </c>
      <c r="B536" s="11" t="s">
        <v>3122</v>
      </c>
      <c r="C536" s="404">
        <v>825</v>
      </c>
      <c r="D536" s="404">
        <v>724954.27536205796</v>
      </c>
      <c r="E536" s="405">
        <v>24408.219908328399</v>
      </c>
      <c r="F536" s="406">
        <v>100</v>
      </c>
      <c r="G536" s="407">
        <v>0</v>
      </c>
    </row>
    <row r="537" spans="1:7" x14ac:dyDescent="0.25">
      <c r="A537" s="6" t="s">
        <v>982</v>
      </c>
      <c r="B537" s="6" t="s">
        <v>983</v>
      </c>
      <c r="C537" s="400">
        <v>2162</v>
      </c>
      <c r="D537" s="400">
        <v>1738053.7246379401</v>
      </c>
      <c r="E537" s="401">
        <v>24408.219908331401</v>
      </c>
      <c r="F537" s="402">
        <v>100</v>
      </c>
      <c r="G537" s="403">
        <v>0</v>
      </c>
    </row>
    <row r="538" spans="1:7" x14ac:dyDescent="0.25">
      <c r="A538" s="11" t="s">
        <v>6293</v>
      </c>
      <c r="B538" s="11" t="s">
        <v>6294</v>
      </c>
      <c r="C538" s="404">
        <v>825</v>
      </c>
      <c r="D538" s="404">
        <v>724954.27536205796</v>
      </c>
      <c r="E538" s="405">
        <v>24408.219908328399</v>
      </c>
      <c r="F538" s="406">
        <v>29.433695520357901</v>
      </c>
      <c r="G538" s="407">
        <v>0.99099231136599197</v>
      </c>
    </row>
    <row r="539" spans="1:7" x14ac:dyDescent="0.25">
      <c r="A539" s="6" t="s">
        <v>6293</v>
      </c>
      <c r="B539" s="6" t="s">
        <v>6295</v>
      </c>
      <c r="C539" s="400">
        <v>2987</v>
      </c>
      <c r="D539" s="400">
        <v>2463008</v>
      </c>
      <c r="E539" s="401">
        <v>0</v>
      </c>
      <c r="F539" s="402">
        <v>100</v>
      </c>
      <c r="G539" s="403">
        <v>0</v>
      </c>
    </row>
    <row r="540" spans="1:7" x14ac:dyDescent="0.25">
      <c r="A540" s="3353" t="s">
        <v>327</v>
      </c>
      <c r="B540" s="3354"/>
      <c r="C540" s="3354"/>
      <c r="D540" s="3354"/>
      <c r="E540" s="3354"/>
      <c r="F540" s="3354"/>
      <c r="G540" s="3354"/>
    </row>
    <row r="541" spans="1:7" x14ac:dyDescent="0.25">
      <c r="A541" s="11" t="s">
        <v>1019</v>
      </c>
      <c r="B541" s="11" t="s">
        <v>3123</v>
      </c>
      <c r="C541" s="412">
        <v>896</v>
      </c>
      <c r="D541" s="412">
        <v>578419.13643072499</v>
      </c>
      <c r="E541" s="413">
        <v>35832.963286440303</v>
      </c>
      <c r="F541" s="414">
        <v>100</v>
      </c>
      <c r="G541" s="415">
        <v>0</v>
      </c>
    </row>
    <row r="542" spans="1:7" x14ac:dyDescent="0.25">
      <c r="A542" s="6" t="s">
        <v>982</v>
      </c>
      <c r="B542" s="6" t="s">
        <v>983</v>
      </c>
      <c r="C542" s="408">
        <v>2091</v>
      </c>
      <c r="D542" s="408">
        <v>1884588.8635692799</v>
      </c>
      <c r="E542" s="409">
        <v>35832.963286441402</v>
      </c>
      <c r="F542" s="410">
        <v>100</v>
      </c>
      <c r="G542" s="411">
        <v>0</v>
      </c>
    </row>
    <row r="543" spans="1:7" x14ac:dyDescent="0.25">
      <c r="A543" s="11" t="s">
        <v>6293</v>
      </c>
      <c r="B543" s="11" t="s">
        <v>6294</v>
      </c>
      <c r="C543" s="412">
        <v>896</v>
      </c>
      <c r="D543" s="412">
        <v>578419.13643072499</v>
      </c>
      <c r="E543" s="413">
        <v>35832.963286440303</v>
      </c>
      <c r="F543" s="414">
        <v>23.484257315880601</v>
      </c>
      <c r="G543" s="415">
        <v>1.4548455906940001</v>
      </c>
    </row>
    <row r="544" spans="1:7" x14ac:dyDescent="0.25">
      <c r="A544" s="6" t="s">
        <v>6293</v>
      </c>
      <c r="B544" s="6" t="s">
        <v>6295</v>
      </c>
      <c r="C544" s="408">
        <v>2987</v>
      </c>
      <c r="D544" s="408">
        <v>2463008</v>
      </c>
      <c r="E544" s="409">
        <v>0</v>
      </c>
      <c r="F544" s="410">
        <v>100</v>
      </c>
      <c r="G544" s="411">
        <v>0</v>
      </c>
    </row>
    <row r="545" spans="1:7" x14ac:dyDescent="0.25">
      <c r="A545" s="3353" t="s">
        <v>325</v>
      </c>
      <c r="B545" s="3354"/>
      <c r="C545" s="3354"/>
      <c r="D545" s="3354"/>
      <c r="E545" s="3354"/>
      <c r="F545" s="3354"/>
      <c r="G545" s="3354"/>
    </row>
    <row r="546" spans="1:7" x14ac:dyDescent="0.25">
      <c r="A546" s="11" t="s">
        <v>982</v>
      </c>
      <c r="B546" s="11" t="s">
        <v>983</v>
      </c>
      <c r="C546" s="420">
        <v>2978</v>
      </c>
      <c r="D546" s="420">
        <v>2458481.2605550098</v>
      </c>
      <c r="E546" s="421">
        <v>2359.9602792505898</v>
      </c>
      <c r="F546" s="422">
        <v>99.816210932120796</v>
      </c>
      <c r="G546" s="423">
        <v>9.5816184082923805E-2</v>
      </c>
    </row>
    <row r="547" spans="1:7" x14ac:dyDescent="0.25">
      <c r="A547" s="6" t="s">
        <v>978</v>
      </c>
      <c r="B547" s="6" t="s">
        <v>979</v>
      </c>
      <c r="C547" s="416">
        <v>9</v>
      </c>
      <c r="D547" s="416">
        <v>4526.7394449909498</v>
      </c>
      <c r="E547" s="417">
        <v>2359.9602792573901</v>
      </c>
      <c r="F547" s="418">
        <v>0.18378906787923399</v>
      </c>
      <c r="G547" s="419">
        <v>9.5816184082933395E-2</v>
      </c>
    </row>
    <row r="548" spans="1:7" x14ac:dyDescent="0.25">
      <c r="A548" s="11" t="s">
        <v>6293</v>
      </c>
      <c r="B548" s="11" t="s">
        <v>6294</v>
      </c>
      <c r="C548" s="420">
        <v>0</v>
      </c>
      <c r="D548" s="420">
        <v>0</v>
      </c>
      <c r="E548" s="421">
        <v>0</v>
      </c>
      <c r="F548" s="422">
        <v>0</v>
      </c>
      <c r="G548" s="423">
        <v>0</v>
      </c>
    </row>
    <row r="549" spans="1:7" x14ac:dyDescent="0.25">
      <c r="A549" s="6" t="s">
        <v>6293</v>
      </c>
      <c r="B549" s="6" t="s">
        <v>6295</v>
      </c>
      <c r="C549" s="416">
        <v>2987</v>
      </c>
      <c r="D549" s="416">
        <v>2463008</v>
      </c>
      <c r="E549" s="417">
        <v>0</v>
      </c>
      <c r="F549" s="418">
        <v>100</v>
      </c>
      <c r="G549" s="419">
        <v>0</v>
      </c>
    </row>
    <row r="550" spans="1:7" x14ac:dyDescent="0.25">
      <c r="A550" s="3353" t="s">
        <v>329</v>
      </c>
      <c r="B550" s="3354"/>
      <c r="C550" s="3354"/>
      <c r="D550" s="3354"/>
      <c r="E550" s="3354"/>
      <c r="F550" s="3354"/>
      <c r="G550" s="3354"/>
    </row>
    <row r="551" spans="1:7" x14ac:dyDescent="0.25">
      <c r="A551" s="11" t="s">
        <v>982</v>
      </c>
      <c r="B551" s="11" t="s">
        <v>983</v>
      </c>
      <c r="C551" s="428">
        <v>2986</v>
      </c>
      <c r="D551" s="428">
        <v>2463008</v>
      </c>
      <c r="E551" s="429">
        <v>4.30277076979038E-8</v>
      </c>
      <c r="F551" s="430">
        <v>100</v>
      </c>
      <c r="G551" s="431">
        <v>0</v>
      </c>
    </row>
    <row r="552" spans="1:7" x14ac:dyDescent="0.25">
      <c r="A552" s="6" t="s">
        <v>6293</v>
      </c>
      <c r="B552" s="6" t="s">
        <v>6294</v>
      </c>
      <c r="C552" s="424">
        <v>0</v>
      </c>
      <c r="D552" s="424">
        <v>0</v>
      </c>
      <c r="E552" s="425">
        <v>0</v>
      </c>
      <c r="F552" s="426">
        <v>0</v>
      </c>
      <c r="G552" s="427">
        <v>0</v>
      </c>
    </row>
    <row r="553" spans="1:7" x14ac:dyDescent="0.25">
      <c r="A553" s="11" t="s">
        <v>6293</v>
      </c>
      <c r="B553" s="11" t="s">
        <v>6295</v>
      </c>
      <c r="C553" s="428">
        <v>2986</v>
      </c>
      <c r="D553" s="428">
        <v>2463008</v>
      </c>
      <c r="E553" s="429">
        <v>0</v>
      </c>
      <c r="F553" s="430">
        <v>100</v>
      </c>
      <c r="G553" s="431">
        <v>0</v>
      </c>
    </row>
    <row r="554" spans="1:7" x14ac:dyDescent="0.25">
      <c r="A554" s="3353" t="s">
        <v>250</v>
      </c>
      <c r="B554" s="3354"/>
      <c r="C554" s="3354"/>
      <c r="D554" s="3354"/>
      <c r="E554" s="3354"/>
      <c r="F554" s="3354"/>
      <c r="G554" s="3354"/>
    </row>
    <row r="555" spans="1:7" x14ac:dyDescent="0.25">
      <c r="A555" s="11" t="s">
        <v>984</v>
      </c>
      <c r="B555" s="11"/>
      <c r="C555" s="436">
        <v>1984</v>
      </c>
      <c r="D555" s="436">
        <v>1735333.2243897801</v>
      </c>
      <c r="E555" s="437">
        <v>9882.1715145309608</v>
      </c>
      <c r="F555" s="438">
        <v>70.455850098326394</v>
      </c>
      <c r="G555" s="439">
        <v>0.40122368723658303</v>
      </c>
    </row>
    <row r="556" spans="1:7" x14ac:dyDescent="0.25">
      <c r="A556" s="6" t="s">
        <v>986</v>
      </c>
      <c r="B556" s="6"/>
      <c r="C556" s="432">
        <v>1003</v>
      </c>
      <c r="D556" s="432">
        <v>727674.77561021398</v>
      </c>
      <c r="E556" s="433">
        <v>9882.1715145324797</v>
      </c>
      <c r="F556" s="434">
        <v>29.544149901673698</v>
      </c>
      <c r="G556" s="435">
        <v>0.40122368723658097</v>
      </c>
    </row>
    <row r="557" spans="1:7" x14ac:dyDescent="0.25">
      <c r="A557" s="11" t="s">
        <v>6293</v>
      </c>
      <c r="B557" s="11" t="s">
        <v>6294</v>
      </c>
      <c r="C557" s="436">
        <v>2987</v>
      </c>
      <c r="D557" s="436">
        <v>2463008</v>
      </c>
      <c r="E557" s="437">
        <v>2.5027166912124501E-8</v>
      </c>
      <c r="F557" s="438">
        <v>100</v>
      </c>
      <c r="G557" s="439">
        <v>1.78031750616652E-14</v>
      </c>
    </row>
    <row r="558" spans="1:7" x14ac:dyDescent="0.25">
      <c r="A558" s="6" t="s">
        <v>6293</v>
      </c>
      <c r="B558" s="6" t="s">
        <v>6295</v>
      </c>
      <c r="C558" s="432">
        <v>2987</v>
      </c>
      <c r="D558" s="432">
        <v>2463008</v>
      </c>
      <c r="E558" s="433">
        <v>0</v>
      </c>
      <c r="F558" s="434">
        <v>100</v>
      </c>
      <c r="G558" s="435">
        <v>0</v>
      </c>
    </row>
    <row r="559" spans="1:7" x14ac:dyDescent="0.25">
      <c r="A559" s="3353" t="s">
        <v>160</v>
      </c>
      <c r="B559" s="3354"/>
      <c r="C559" s="3354"/>
      <c r="D559" s="3354"/>
      <c r="E559" s="3354"/>
      <c r="F559" s="3354"/>
      <c r="G559" s="3354"/>
    </row>
    <row r="560" spans="1:7" x14ac:dyDescent="0.25">
      <c r="A560" s="11" t="s">
        <v>6298</v>
      </c>
      <c r="B560" s="11"/>
      <c r="C560" s="444">
        <v>1573</v>
      </c>
      <c r="D560" s="444">
        <v>1129209.1188534601</v>
      </c>
      <c r="E560" s="445">
        <v>50391.534656442796</v>
      </c>
      <c r="F560" s="446">
        <v>45.846749943705603</v>
      </c>
      <c r="G560" s="447">
        <v>2.0459346724185301</v>
      </c>
    </row>
    <row r="561" spans="1:7" x14ac:dyDescent="0.25">
      <c r="A561" s="6" t="s">
        <v>6296</v>
      </c>
      <c r="B561" s="6"/>
      <c r="C561" s="440">
        <v>1117</v>
      </c>
      <c r="D561" s="440">
        <v>898143.96233846305</v>
      </c>
      <c r="E561" s="441">
        <v>35017.972531765598</v>
      </c>
      <c r="F561" s="442">
        <v>36.4653286687848</v>
      </c>
      <c r="G561" s="443">
        <v>1.42175634556466</v>
      </c>
    </row>
    <row r="562" spans="1:7" x14ac:dyDescent="0.25">
      <c r="A562" s="11" t="s">
        <v>6297</v>
      </c>
      <c r="B562" s="11"/>
      <c r="C562" s="444">
        <v>181</v>
      </c>
      <c r="D562" s="444">
        <v>220838.203710011</v>
      </c>
      <c r="E562" s="445">
        <v>27269.537812283099</v>
      </c>
      <c r="F562" s="446">
        <v>8.9661992047939396</v>
      </c>
      <c r="G562" s="447">
        <v>1.1071639967179601</v>
      </c>
    </row>
    <row r="563" spans="1:7" x14ac:dyDescent="0.25">
      <c r="A563" s="6" t="s">
        <v>1174</v>
      </c>
      <c r="B563" s="6"/>
      <c r="C563" s="440">
        <v>69</v>
      </c>
      <c r="D563" s="440">
        <v>127471.717567157</v>
      </c>
      <c r="E563" s="441">
        <v>14695.1831585328</v>
      </c>
      <c r="F563" s="442">
        <v>5.1754487832421798</v>
      </c>
      <c r="G563" s="443">
        <v>0.59663562434766004</v>
      </c>
    </row>
    <row r="564" spans="1:7" x14ac:dyDescent="0.25">
      <c r="A564" s="11" t="s">
        <v>6300</v>
      </c>
      <c r="B564" s="11"/>
      <c r="C564" s="444">
        <v>45</v>
      </c>
      <c r="D564" s="444">
        <v>76237.046697371101</v>
      </c>
      <c r="E564" s="445">
        <v>23879.097522280699</v>
      </c>
      <c r="F564" s="446">
        <v>3.0952821386439302</v>
      </c>
      <c r="G564" s="447">
        <v>0.96950953964748599</v>
      </c>
    </row>
    <row r="565" spans="1:7" x14ac:dyDescent="0.25">
      <c r="A565" s="6" t="s">
        <v>6299</v>
      </c>
      <c r="B565" s="6"/>
      <c r="C565" s="440">
        <v>2</v>
      </c>
      <c r="D565" s="440">
        <v>11107.950833532999</v>
      </c>
      <c r="E565" s="441">
        <v>8180.3453368485198</v>
      </c>
      <c r="F565" s="442">
        <v>0.45099126082956298</v>
      </c>
      <c r="G565" s="443">
        <v>0.33212824874497099</v>
      </c>
    </row>
    <row r="566" spans="1:7" x14ac:dyDescent="0.25">
      <c r="A566" s="11" t="s">
        <v>6293</v>
      </c>
      <c r="B566" s="11" t="s">
        <v>6294</v>
      </c>
      <c r="C566" s="444">
        <v>2987</v>
      </c>
      <c r="D566" s="444">
        <v>2463008</v>
      </c>
      <c r="E566" s="445">
        <v>1.3399398485141E-8</v>
      </c>
      <c r="F566" s="446">
        <v>100</v>
      </c>
      <c r="G566" s="447">
        <v>2.5177491625509499E-14</v>
      </c>
    </row>
    <row r="567" spans="1:7" x14ac:dyDescent="0.25">
      <c r="A567" s="6" t="s">
        <v>6293</v>
      </c>
      <c r="B567" s="6" t="s">
        <v>6295</v>
      </c>
      <c r="C567" s="440">
        <v>2987</v>
      </c>
      <c r="D567" s="440">
        <v>2463008</v>
      </c>
      <c r="E567" s="441">
        <v>0</v>
      </c>
      <c r="F567" s="442">
        <v>100</v>
      </c>
      <c r="G567" s="443">
        <v>0</v>
      </c>
    </row>
    <row r="568" spans="1:7" x14ac:dyDescent="0.25">
      <c r="A568" s="3353" t="s">
        <v>104</v>
      </c>
      <c r="B568" s="3354"/>
      <c r="C568" s="3354"/>
      <c r="D568" s="3354"/>
      <c r="E568" s="3354"/>
      <c r="F568" s="3354"/>
      <c r="G568" s="3354"/>
    </row>
    <row r="569" spans="1:7" x14ac:dyDescent="0.25">
      <c r="A569" s="11" t="s">
        <v>6300</v>
      </c>
      <c r="B569" s="11"/>
      <c r="C569" s="452">
        <v>369</v>
      </c>
      <c r="D569" s="452">
        <v>285526.23418447399</v>
      </c>
      <c r="E569" s="453">
        <v>31470.674183576899</v>
      </c>
      <c r="F569" s="454">
        <v>11.592582491996501</v>
      </c>
      <c r="G569" s="455">
        <v>1.2777333319086599</v>
      </c>
    </row>
    <row r="570" spans="1:7" x14ac:dyDescent="0.25">
      <c r="A570" s="6" t="s">
        <v>6298</v>
      </c>
      <c r="B570" s="6"/>
      <c r="C570" s="448">
        <v>323</v>
      </c>
      <c r="D570" s="448">
        <v>250685.01785683501</v>
      </c>
      <c r="E570" s="449">
        <v>25553.081326294399</v>
      </c>
      <c r="F570" s="450">
        <v>10.178002582891899</v>
      </c>
      <c r="G570" s="451">
        <v>1.03747455657044</v>
      </c>
    </row>
    <row r="571" spans="1:7" x14ac:dyDescent="0.25">
      <c r="A571" s="11" t="s">
        <v>6301</v>
      </c>
      <c r="B571" s="11"/>
      <c r="C571" s="452">
        <v>288</v>
      </c>
      <c r="D571" s="452">
        <v>188691.01279488299</v>
      </c>
      <c r="E571" s="453">
        <v>20403.969378340698</v>
      </c>
      <c r="F571" s="454">
        <v>7.6609987785213596</v>
      </c>
      <c r="G571" s="455">
        <v>0.82841669123042805</v>
      </c>
    </row>
    <row r="572" spans="1:7" x14ac:dyDescent="0.25">
      <c r="A572" s="6" t="s">
        <v>1174</v>
      </c>
      <c r="B572" s="6"/>
      <c r="C572" s="448">
        <v>322</v>
      </c>
      <c r="D572" s="448">
        <v>182271.486456863</v>
      </c>
      <c r="E572" s="449">
        <v>23100.889003868098</v>
      </c>
      <c r="F572" s="450">
        <v>7.4003611217203797</v>
      </c>
      <c r="G572" s="451">
        <v>0.93791368131439901</v>
      </c>
    </row>
    <row r="573" spans="1:7" x14ac:dyDescent="0.25">
      <c r="A573" s="11" t="s">
        <v>6297</v>
      </c>
      <c r="B573" s="11"/>
      <c r="C573" s="452">
        <v>205</v>
      </c>
      <c r="D573" s="452">
        <v>178833.53765538099</v>
      </c>
      <c r="E573" s="453">
        <v>47118.879726720697</v>
      </c>
      <c r="F573" s="454">
        <v>7.2607777829134497</v>
      </c>
      <c r="G573" s="455">
        <v>1.91306239065081</v>
      </c>
    </row>
    <row r="574" spans="1:7" x14ac:dyDescent="0.25">
      <c r="A574" s="6" t="s">
        <v>6303</v>
      </c>
      <c r="B574" s="6"/>
      <c r="C574" s="448">
        <v>229</v>
      </c>
      <c r="D574" s="448">
        <v>170428.71662330799</v>
      </c>
      <c r="E574" s="449">
        <v>23768.475988186001</v>
      </c>
      <c r="F574" s="450">
        <v>6.9195356500388199</v>
      </c>
      <c r="G574" s="451">
        <v>0.96501822114203295</v>
      </c>
    </row>
    <row r="575" spans="1:7" x14ac:dyDescent="0.25">
      <c r="A575" s="11" t="s">
        <v>6299</v>
      </c>
      <c r="B575" s="11"/>
      <c r="C575" s="452">
        <v>233</v>
      </c>
      <c r="D575" s="452">
        <v>163522.93713470499</v>
      </c>
      <c r="E575" s="453">
        <v>13367.171429469599</v>
      </c>
      <c r="F575" s="454">
        <v>6.63915574511757</v>
      </c>
      <c r="G575" s="455">
        <v>0.54271733707197201</v>
      </c>
    </row>
    <row r="576" spans="1:7" x14ac:dyDescent="0.25">
      <c r="A576" s="6" t="s">
        <v>1017</v>
      </c>
      <c r="B576" s="6"/>
      <c r="C576" s="448">
        <v>158</v>
      </c>
      <c r="D576" s="448">
        <v>163374.20987125201</v>
      </c>
      <c r="E576" s="449">
        <v>21503.169225535599</v>
      </c>
      <c r="F576" s="450">
        <v>6.6331173049885503</v>
      </c>
      <c r="G576" s="451">
        <v>0.87304504189737198</v>
      </c>
    </row>
    <row r="577" spans="1:7" x14ac:dyDescent="0.25">
      <c r="A577" s="11" t="s">
        <v>6302</v>
      </c>
      <c r="B577" s="11"/>
      <c r="C577" s="452">
        <v>150</v>
      </c>
      <c r="D577" s="452">
        <v>158431.85015765601</v>
      </c>
      <c r="E577" s="453">
        <v>16985.555624032801</v>
      </c>
      <c r="F577" s="454">
        <v>6.4324537377733098</v>
      </c>
      <c r="G577" s="455">
        <v>0.68962649021167599</v>
      </c>
    </row>
    <row r="578" spans="1:7" x14ac:dyDescent="0.25">
      <c r="A578" s="6" t="s">
        <v>6304</v>
      </c>
      <c r="B578" s="6"/>
      <c r="C578" s="448">
        <v>114</v>
      </c>
      <c r="D578" s="448">
        <v>101488.245678113</v>
      </c>
      <c r="E578" s="449">
        <v>19469.834939408302</v>
      </c>
      <c r="F578" s="450">
        <v>4.1205000421481897</v>
      </c>
      <c r="G578" s="451">
        <v>0.79049012181074096</v>
      </c>
    </row>
    <row r="579" spans="1:7" x14ac:dyDescent="0.25">
      <c r="A579" s="11" t="s">
        <v>1025</v>
      </c>
      <c r="B579" s="11"/>
      <c r="C579" s="452">
        <v>76</v>
      </c>
      <c r="D579" s="452">
        <v>85602.163241661096</v>
      </c>
      <c r="E579" s="453">
        <v>26147.6559183018</v>
      </c>
      <c r="F579" s="454">
        <v>3.47551300043123</v>
      </c>
      <c r="G579" s="455">
        <v>1.0616147376826199</v>
      </c>
    </row>
    <row r="580" spans="1:7" x14ac:dyDescent="0.25">
      <c r="A580" s="6" t="s">
        <v>1019</v>
      </c>
      <c r="B580" s="6"/>
      <c r="C580" s="448">
        <v>74</v>
      </c>
      <c r="D580" s="448">
        <v>75770.442104050104</v>
      </c>
      <c r="E580" s="449">
        <v>14275.290229381801</v>
      </c>
      <c r="F580" s="450">
        <v>3.0763376369077999</v>
      </c>
      <c r="G580" s="451">
        <v>0.57958765174054705</v>
      </c>
    </row>
    <row r="581" spans="1:7" x14ac:dyDescent="0.25">
      <c r="A581" s="11" t="s">
        <v>1027</v>
      </c>
      <c r="B581" s="11"/>
      <c r="C581" s="452">
        <v>49</v>
      </c>
      <c r="D581" s="452">
        <v>74142.369473878905</v>
      </c>
      <c r="E581" s="453">
        <v>21603.6616809322</v>
      </c>
      <c r="F581" s="454">
        <v>3.0102366485971199</v>
      </c>
      <c r="G581" s="455">
        <v>0.87712511209594901</v>
      </c>
    </row>
    <row r="582" spans="1:7" x14ac:dyDescent="0.25">
      <c r="A582" s="6" t="s">
        <v>1021</v>
      </c>
      <c r="B582" s="6"/>
      <c r="C582" s="448">
        <v>98</v>
      </c>
      <c r="D582" s="448">
        <v>50644.133404800603</v>
      </c>
      <c r="E582" s="449">
        <v>15361.947467239201</v>
      </c>
      <c r="F582" s="450">
        <v>2.0561903739167899</v>
      </c>
      <c r="G582" s="451">
        <v>0.62370676291912897</v>
      </c>
    </row>
    <row r="583" spans="1:7" x14ac:dyDescent="0.25">
      <c r="A583" s="11" t="s">
        <v>1023</v>
      </c>
      <c r="B583" s="11"/>
      <c r="C583" s="452">
        <v>49</v>
      </c>
      <c r="D583" s="452">
        <v>48945.0112194678</v>
      </c>
      <c r="E583" s="453">
        <v>9989.1034338429508</v>
      </c>
      <c r="F583" s="454">
        <v>1.9872047195733</v>
      </c>
      <c r="G583" s="455">
        <v>0.40556520457273998</v>
      </c>
    </row>
    <row r="584" spans="1:7" x14ac:dyDescent="0.25">
      <c r="A584" s="6" t="s">
        <v>1031</v>
      </c>
      <c r="B584" s="6"/>
      <c r="C584" s="448">
        <v>30</v>
      </c>
      <c r="D584" s="448">
        <v>39783.928310607203</v>
      </c>
      <c r="E584" s="449">
        <v>14297.839361236</v>
      </c>
      <c r="F584" s="450">
        <v>1.6152577787245199</v>
      </c>
      <c r="G584" s="451">
        <v>0.58050316366150501</v>
      </c>
    </row>
    <row r="585" spans="1:7" x14ac:dyDescent="0.25">
      <c r="A585" s="11" t="s">
        <v>1075</v>
      </c>
      <c r="B585" s="11"/>
      <c r="C585" s="452">
        <v>8</v>
      </c>
      <c r="D585" s="452">
        <v>32895.366386889502</v>
      </c>
      <c r="E585" s="453">
        <v>13281.9496738421</v>
      </c>
      <c r="F585" s="454">
        <v>1.3355769200461201</v>
      </c>
      <c r="G585" s="455">
        <v>0.53925726891029402</v>
      </c>
    </row>
    <row r="586" spans="1:7" x14ac:dyDescent="0.25">
      <c r="A586" s="6" t="s">
        <v>1073</v>
      </c>
      <c r="B586" s="6"/>
      <c r="C586" s="448">
        <v>12</v>
      </c>
      <c r="D586" s="448">
        <v>32227.056324840902</v>
      </c>
      <c r="E586" s="449">
        <v>15354.0511567348</v>
      </c>
      <c r="F586" s="450">
        <v>1.3084430227121</v>
      </c>
      <c r="G586" s="451">
        <v>0.62338616670083102</v>
      </c>
    </row>
    <row r="587" spans="1:7" x14ac:dyDescent="0.25">
      <c r="A587" s="11" t="s">
        <v>1029</v>
      </c>
      <c r="B587" s="11"/>
      <c r="C587" s="452">
        <v>43</v>
      </c>
      <c r="D587" s="452">
        <v>31228.506311359099</v>
      </c>
      <c r="E587" s="453">
        <v>12185.594989278599</v>
      </c>
      <c r="F587" s="454">
        <v>1.2679011319232001</v>
      </c>
      <c r="G587" s="455">
        <v>0.49474443401233897</v>
      </c>
    </row>
    <row r="588" spans="1:7" x14ac:dyDescent="0.25">
      <c r="A588" s="6" t="s">
        <v>6296</v>
      </c>
      <c r="B588" s="6"/>
      <c r="C588" s="448">
        <v>49</v>
      </c>
      <c r="D588" s="448">
        <v>30066.490912640798</v>
      </c>
      <c r="E588" s="449">
        <v>11014.768417527201</v>
      </c>
      <c r="F588" s="450">
        <v>1.2207224220400801</v>
      </c>
      <c r="G588" s="451">
        <v>0.44720798379571702</v>
      </c>
    </row>
    <row r="589" spans="1:7" x14ac:dyDescent="0.25">
      <c r="A589" s="11" t="s">
        <v>1069</v>
      </c>
      <c r="B589" s="11"/>
      <c r="C589" s="452">
        <v>13</v>
      </c>
      <c r="D589" s="452">
        <v>24064.2724808977</v>
      </c>
      <c r="E589" s="453">
        <v>6966.1602745193404</v>
      </c>
      <c r="F589" s="454">
        <v>0.97702778394945</v>
      </c>
      <c r="G589" s="455">
        <v>0.28283141080010099</v>
      </c>
    </row>
    <row r="590" spans="1:7" x14ac:dyDescent="0.25">
      <c r="A590" s="6" t="s">
        <v>1035</v>
      </c>
      <c r="B590" s="6"/>
      <c r="C590" s="448">
        <v>12</v>
      </c>
      <c r="D590" s="448">
        <v>20941.241524574201</v>
      </c>
      <c r="E590" s="449">
        <v>7471.6752014616904</v>
      </c>
      <c r="F590" s="450">
        <v>0.85023034941722597</v>
      </c>
      <c r="G590" s="451">
        <v>0.303355701705463</v>
      </c>
    </row>
    <row r="591" spans="1:7" x14ac:dyDescent="0.25">
      <c r="A591" s="11" t="s">
        <v>1033</v>
      </c>
      <c r="B591" s="11"/>
      <c r="C591" s="452">
        <v>25</v>
      </c>
      <c r="D591" s="452">
        <v>20256.217846356401</v>
      </c>
      <c r="E591" s="453">
        <v>7858.0328139917101</v>
      </c>
      <c r="F591" s="454">
        <v>0.82241786654190197</v>
      </c>
      <c r="G591" s="455">
        <v>0.31904211492580298</v>
      </c>
    </row>
    <row r="592" spans="1:7" x14ac:dyDescent="0.25">
      <c r="A592" s="6" t="s">
        <v>1177</v>
      </c>
      <c r="B592" s="6"/>
      <c r="C592" s="448">
        <v>14</v>
      </c>
      <c r="D592" s="448">
        <v>18453.775688331301</v>
      </c>
      <c r="E592" s="449">
        <v>9958.8285519493693</v>
      </c>
      <c r="F592" s="450">
        <v>0.74923734264490005</v>
      </c>
      <c r="G592" s="451">
        <v>0.404336021318216</v>
      </c>
    </row>
    <row r="593" spans="1:7" x14ac:dyDescent="0.25">
      <c r="A593" s="11" t="s">
        <v>1071</v>
      </c>
      <c r="B593" s="11"/>
      <c r="C593" s="452">
        <v>8</v>
      </c>
      <c r="D593" s="452">
        <v>7510.1235568886796</v>
      </c>
      <c r="E593" s="453">
        <v>6063.5016364257299</v>
      </c>
      <c r="F593" s="454">
        <v>0.30491673420828003</v>
      </c>
      <c r="G593" s="455">
        <v>0.24618278285842901</v>
      </c>
    </row>
    <row r="594" spans="1:7" x14ac:dyDescent="0.25">
      <c r="A594" s="6" t="s">
        <v>3058</v>
      </c>
      <c r="B594" s="6"/>
      <c r="C594" s="448">
        <v>5</v>
      </c>
      <c r="D594" s="448">
        <v>6341.5612620595903</v>
      </c>
      <c r="E594" s="449">
        <v>4082.1324049156201</v>
      </c>
      <c r="F594" s="450">
        <v>0.25747221535860199</v>
      </c>
      <c r="G594" s="451">
        <v>0.16573768355261601</v>
      </c>
    </row>
    <row r="595" spans="1:7" x14ac:dyDescent="0.25">
      <c r="A595" s="11" t="s">
        <v>3062</v>
      </c>
      <c r="B595" s="11"/>
      <c r="C595" s="452">
        <v>4</v>
      </c>
      <c r="D595" s="452">
        <v>4819.96199426772</v>
      </c>
      <c r="E595" s="453">
        <v>4049.7324620107302</v>
      </c>
      <c r="F595" s="454">
        <v>0.195694126623532</v>
      </c>
      <c r="G595" s="455">
        <v>0.16442222120312699</v>
      </c>
    </row>
    <row r="596" spans="1:7" x14ac:dyDescent="0.25">
      <c r="A596" s="6" t="s">
        <v>1081</v>
      </c>
      <c r="B596" s="6"/>
      <c r="C596" s="448">
        <v>1</v>
      </c>
      <c r="D596" s="448">
        <v>3052.4119109059602</v>
      </c>
      <c r="E596" s="449">
        <v>3106.6399512643202</v>
      </c>
      <c r="F596" s="450">
        <v>0.123930247522784</v>
      </c>
      <c r="G596" s="451">
        <v>0.12613194724760601</v>
      </c>
    </row>
    <row r="597" spans="1:7" x14ac:dyDescent="0.25">
      <c r="A597" s="11" t="s">
        <v>3077</v>
      </c>
      <c r="B597" s="11"/>
      <c r="C597" s="452">
        <v>2</v>
      </c>
      <c r="D597" s="452">
        <v>2523.4256958443202</v>
      </c>
      <c r="E597" s="453">
        <v>2404.2163042469401</v>
      </c>
      <c r="F597" s="454">
        <v>0.10245300445001899</v>
      </c>
      <c r="G597" s="455">
        <v>9.7613012391634293E-2</v>
      </c>
    </row>
    <row r="598" spans="1:7" x14ac:dyDescent="0.25">
      <c r="A598" s="6" t="s">
        <v>3056</v>
      </c>
      <c r="B598" s="6"/>
      <c r="C598" s="448">
        <v>5</v>
      </c>
      <c r="D598" s="448">
        <v>2455.4179158202201</v>
      </c>
      <c r="E598" s="449">
        <v>1377.51896577197</v>
      </c>
      <c r="F598" s="450">
        <v>9.9691836803624798E-2</v>
      </c>
      <c r="G598" s="451">
        <v>5.5928318778175799E-2</v>
      </c>
    </row>
    <row r="599" spans="1:7" x14ac:dyDescent="0.25">
      <c r="A599" s="11" t="s">
        <v>3054</v>
      </c>
      <c r="B599" s="11"/>
      <c r="C599" s="452">
        <v>6</v>
      </c>
      <c r="D599" s="452">
        <v>1673.9221548067901</v>
      </c>
      <c r="E599" s="453">
        <v>1106.3787392199399</v>
      </c>
      <c r="F599" s="454">
        <v>6.7962513918216699E-2</v>
      </c>
      <c r="G599" s="455">
        <v>4.4919819148778399E-2</v>
      </c>
    </row>
    <row r="600" spans="1:7" x14ac:dyDescent="0.25">
      <c r="A600" s="6" t="s">
        <v>1079</v>
      </c>
      <c r="B600" s="6"/>
      <c r="C600" s="448">
        <v>2</v>
      </c>
      <c r="D600" s="448">
        <v>1425.42300035068</v>
      </c>
      <c r="E600" s="449">
        <v>937.80500442004495</v>
      </c>
      <c r="F600" s="450">
        <v>5.7873259053591197E-2</v>
      </c>
      <c r="G600" s="451">
        <v>3.8075597173051999E-2</v>
      </c>
    </row>
    <row r="601" spans="1:7" x14ac:dyDescent="0.25">
      <c r="A601" s="11" t="s">
        <v>1179</v>
      </c>
      <c r="B601" s="11"/>
      <c r="C601" s="452">
        <v>3</v>
      </c>
      <c r="D601" s="452">
        <v>1409.7218438912</v>
      </c>
      <c r="E601" s="453">
        <v>1192.38755430422</v>
      </c>
      <c r="F601" s="454">
        <v>5.7235780147332001E-2</v>
      </c>
      <c r="G601" s="455">
        <v>4.8411842523622399E-2</v>
      </c>
    </row>
    <row r="602" spans="1:7" x14ac:dyDescent="0.25">
      <c r="A602" s="6" t="s">
        <v>1089</v>
      </c>
      <c r="B602" s="6"/>
      <c r="C602" s="448">
        <v>1</v>
      </c>
      <c r="D602" s="448">
        <v>1083.6561152188101</v>
      </c>
      <c r="E602" s="449">
        <v>1177.3659933495001</v>
      </c>
      <c r="F602" s="450">
        <v>4.3997263314565403E-2</v>
      </c>
      <c r="G602" s="451">
        <v>4.7801955712263297E-2</v>
      </c>
    </row>
    <row r="603" spans="1:7" x14ac:dyDescent="0.25">
      <c r="A603" s="11" t="s">
        <v>1083</v>
      </c>
      <c r="B603" s="11"/>
      <c r="C603" s="452">
        <v>1</v>
      </c>
      <c r="D603" s="452">
        <v>891.82587040089095</v>
      </c>
      <c r="E603" s="453">
        <v>933.23830335701302</v>
      </c>
      <c r="F603" s="454">
        <v>3.6208809325868598E-2</v>
      </c>
      <c r="G603" s="455">
        <v>3.7890185633055698E-2</v>
      </c>
    </row>
    <row r="604" spans="1:7" x14ac:dyDescent="0.25">
      <c r="A604" s="6" t="s">
        <v>3089</v>
      </c>
      <c r="B604" s="6"/>
      <c r="C604" s="448">
        <v>1</v>
      </c>
      <c r="D604" s="448">
        <v>502.37599085407402</v>
      </c>
      <c r="E604" s="449">
        <v>503.72646425265498</v>
      </c>
      <c r="F604" s="450">
        <v>2.0396847710363701E-2</v>
      </c>
      <c r="G604" s="451">
        <v>2.0451677958522901E-2</v>
      </c>
    </row>
    <row r="605" spans="1:7" x14ac:dyDescent="0.25">
      <c r="A605" s="11" t="s">
        <v>3087</v>
      </c>
      <c r="B605" s="11"/>
      <c r="C605" s="452">
        <v>1</v>
      </c>
      <c r="D605" s="452">
        <v>418.33695083740099</v>
      </c>
      <c r="E605" s="453">
        <v>425.12807030988102</v>
      </c>
      <c r="F605" s="454">
        <v>1.6984798702943799E-2</v>
      </c>
      <c r="G605" s="455">
        <v>1.7260523323914499E-2</v>
      </c>
    </row>
    <row r="606" spans="1:7" x14ac:dyDescent="0.25">
      <c r="A606" s="6" t="s">
        <v>3075</v>
      </c>
      <c r="B606" s="6"/>
      <c r="C606" s="448">
        <v>1</v>
      </c>
      <c r="D606" s="448">
        <v>251.396962260224</v>
      </c>
      <c r="E606" s="449">
        <v>257.39256302924099</v>
      </c>
      <c r="F606" s="450">
        <v>1.02069080677052E-2</v>
      </c>
      <c r="G606" s="451">
        <v>1.04503340236508E-2</v>
      </c>
    </row>
    <row r="607" spans="1:7" x14ac:dyDescent="0.25">
      <c r="A607" s="11" t="s">
        <v>1087</v>
      </c>
      <c r="B607" s="11"/>
      <c r="C607" s="452">
        <v>1</v>
      </c>
      <c r="D607" s="452">
        <v>203.667899303149</v>
      </c>
      <c r="E607" s="453">
        <v>209.16725501501</v>
      </c>
      <c r="F607" s="454">
        <v>8.2690717733417407E-3</v>
      </c>
      <c r="G607" s="455">
        <v>8.4923498021528803E-3</v>
      </c>
    </row>
    <row r="608" spans="1:7" x14ac:dyDescent="0.25">
      <c r="A608" s="6" t="s">
        <v>3073</v>
      </c>
      <c r="B608" s="6"/>
      <c r="C608" s="448">
        <v>1</v>
      </c>
      <c r="D608" s="448">
        <v>170.547232464704</v>
      </c>
      <c r="E608" s="449">
        <v>178.26304802304099</v>
      </c>
      <c r="F608" s="450">
        <v>6.9243474834309897E-3</v>
      </c>
      <c r="G608" s="451">
        <v>7.2376154695007596E-3</v>
      </c>
    </row>
    <row r="609" spans="1:7" x14ac:dyDescent="0.25">
      <c r="A609" s="11" t="s">
        <v>6293</v>
      </c>
      <c r="B609" s="11" t="s">
        <v>6294</v>
      </c>
      <c r="C609" s="452">
        <v>2986</v>
      </c>
      <c r="D609" s="452">
        <v>2463008</v>
      </c>
      <c r="E609" s="453">
        <v>1.5945560449551899E-8</v>
      </c>
      <c r="F609" s="454">
        <v>100</v>
      </c>
      <c r="G609" s="455">
        <v>1.45362315675074E-14</v>
      </c>
    </row>
    <row r="610" spans="1:7" x14ac:dyDescent="0.25">
      <c r="A610" s="6" t="s">
        <v>6293</v>
      </c>
      <c r="B610" s="6" t="s">
        <v>6295</v>
      </c>
      <c r="C610" s="448">
        <v>2986</v>
      </c>
      <c r="D610" s="448">
        <v>2463008</v>
      </c>
      <c r="E610" s="449">
        <v>0</v>
      </c>
      <c r="F610" s="450">
        <v>100</v>
      </c>
      <c r="G610" s="451">
        <v>0</v>
      </c>
    </row>
    <row r="611" spans="1:7" x14ac:dyDescent="0.25">
      <c r="A611" s="3353" t="s">
        <v>258</v>
      </c>
      <c r="B611" s="3354"/>
      <c r="C611" s="3354"/>
      <c r="D611" s="3354"/>
      <c r="E611" s="3354"/>
      <c r="F611" s="3354"/>
      <c r="G611" s="3354"/>
    </row>
    <row r="612" spans="1:7" x14ac:dyDescent="0.25">
      <c r="A612" s="11" t="s">
        <v>6372</v>
      </c>
      <c r="B612" s="11"/>
      <c r="C612" s="460">
        <v>2966</v>
      </c>
      <c r="D612" s="460">
        <v>2453485.1253320202</v>
      </c>
      <c r="E612" s="461">
        <v>5040.4558132029697</v>
      </c>
      <c r="F612" s="462">
        <v>99.613364038282299</v>
      </c>
      <c r="G612" s="463">
        <v>0.20464634354453101</v>
      </c>
    </row>
    <row r="613" spans="1:7" x14ac:dyDescent="0.25">
      <c r="A613" s="6" t="s">
        <v>6373</v>
      </c>
      <c r="B613" s="6"/>
      <c r="C613" s="456">
        <v>2</v>
      </c>
      <c r="D613" s="456">
        <v>4649.3568074492096</v>
      </c>
      <c r="E613" s="457">
        <v>4782.68195574735</v>
      </c>
      <c r="F613" s="458">
        <v>0.18876742614921299</v>
      </c>
      <c r="G613" s="459">
        <v>0.194180528676616</v>
      </c>
    </row>
    <row r="614" spans="1:7" x14ac:dyDescent="0.25">
      <c r="A614" s="11" t="s">
        <v>6374</v>
      </c>
      <c r="B614" s="11"/>
      <c r="C614" s="460">
        <v>1</v>
      </c>
      <c r="D614" s="460">
        <v>2153.4316136642701</v>
      </c>
      <c r="E614" s="461">
        <v>2447.4955707003301</v>
      </c>
      <c r="F614" s="462">
        <v>8.7430963020187893E-2</v>
      </c>
      <c r="G614" s="463">
        <v>9.9370183560115302E-2</v>
      </c>
    </row>
    <row r="615" spans="1:7" x14ac:dyDescent="0.25">
      <c r="A615" s="6" t="s">
        <v>6375</v>
      </c>
      <c r="B615" s="6"/>
      <c r="C615" s="456">
        <v>4</v>
      </c>
      <c r="D615" s="456">
        <v>1088.4203536605601</v>
      </c>
      <c r="E615" s="457">
        <v>454.85542154484</v>
      </c>
      <c r="F615" s="458">
        <v>4.4190695022531798E-2</v>
      </c>
      <c r="G615" s="459">
        <v>1.8467476416838199E-2</v>
      </c>
    </row>
    <row r="616" spans="1:7" x14ac:dyDescent="0.25">
      <c r="A616" s="11" t="s">
        <v>6376</v>
      </c>
      <c r="B616" s="11"/>
      <c r="C616" s="460">
        <v>1</v>
      </c>
      <c r="D616" s="460">
        <v>336.30120704546601</v>
      </c>
      <c r="E616" s="461">
        <v>344.98890756827598</v>
      </c>
      <c r="F616" s="462">
        <v>1.3654085047448699E-2</v>
      </c>
      <c r="G616" s="463">
        <v>1.40068123030163E-2</v>
      </c>
    </row>
    <row r="617" spans="1:7" x14ac:dyDescent="0.25">
      <c r="A617" s="6" t="s">
        <v>6377</v>
      </c>
      <c r="B617" s="6"/>
      <c r="C617" s="456">
        <v>3</v>
      </c>
      <c r="D617" s="456">
        <v>270.38898635437602</v>
      </c>
      <c r="E617" s="457">
        <v>176.30865163169199</v>
      </c>
      <c r="F617" s="458">
        <v>1.0977998705419399E-2</v>
      </c>
      <c r="G617" s="459">
        <v>7.1582654880411097E-3</v>
      </c>
    </row>
    <row r="618" spans="1:7" x14ac:dyDescent="0.25">
      <c r="A618" s="11" t="s">
        <v>6378</v>
      </c>
      <c r="B618" s="11"/>
      <c r="C618" s="460">
        <v>1</v>
      </c>
      <c r="D618" s="460">
        <v>243.39472597127201</v>
      </c>
      <c r="E618" s="461">
        <v>247.839008881486</v>
      </c>
      <c r="F618" s="462">
        <v>9.8820111819073308E-3</v>
      </c>
      <c r="G618" s="463">
        <v>1.00624524516967E-2</v>
      </c>
    </row>
    <row r="619" spans="1:7" x14ac:dyDescent="0.25">
      <c r="A619" s="6" t="s">
        <v>6379</v>
      </c>
      <c r="B619" s="6"/>
      <c r="C619" s="456">
        <v>1</v>
      </c>
      <c r="D619" s="456">
        <v>194.59727742908899</v>
      </c>
      <c r="E619" s="457">
        <v>197.111437190255</v>
      </c>
      <c r="F619" s="458">
        <v>7.9007976193779701E-3</v>
      </c>
      <c r="G619" s="459">
        <v>8.0028744198254592E-3</v>
      </c>
    </row>
    <row r="620" spans="1:7" x14ac:dyDescent="0.25">
      <c r="A620" s="11" t="s">
        <v>6380</v>
      </c>
      <c r="B620" s="11"/>
      <c r="C620" s="460">
        <v>1</v>
      </c>
      <c r="D620" s="460">
        <v>158.036701308218</v>
      </c>
      <c r="E620" s="461">
        <v>158.49481785624701</v>
      </c>
      <c r="F620" s="462">
        <v>6.4164103936413504E-3</v>
      </c>
      <c r="G620" s="463">
        <v>6.4350102742763001E-3</v>
      </c>
    </row>
    <row r="621" spans="1:7" x14ac:dyDescent="0.25">
      <c r="A621" s="6" t="s">
        <v>6381</v>
      </c>
      <c r="B621" s="6"/>
      <c r="C621" s="456">
        <v>1</v>
      </c>
      <c r="D621" s="456">
        <v>133.24087940269601</v>
      </c>
      <c r="E621" s="457">
        <v>139.435991770058</v>
      </c>
      <c r="F621" s="458">
        <v>5.4096811460903104E-3</v>
      </c>
      <c r="G621" s="459">
        <v>5.6612074248259996E-3</v>
      </c>
    </row>
    <row r="622" spans="1:7" x14ac:dyDescent="0.25">
      <c r="A622" s="11" t="s">
        <v>6382</v>
      </c>
      <c r="B622" s="11"/>
      <c r="C622" s="460">
        <v>2</v>
      </c>
      <c r="D622" s="460">
        <v>126.897955880312</v>
      </c>
      <c r="E622" s="461">
        <v>127.248245762485</v>
      </c>
      <c r="F622" s="462">
        <v>5.1521536219253797E-3</v>
      </c>
      <c r="G622" s="463">
        <v>5.1663756578332297E-3</v>
      </c>
    </row>
    <row r="623" spans="1:7" x14ac:dyDescent="0.25">
      <c r="A623" s="6" t="s">
        <v>6383</v>
      </c>
      <c r="B623" s="6"/>
      <c r="C623" s="456">
        <v>1</v>
      </c>
      <c r="D623" s="456">
        <v>73.027807691990006</v>
      </c>
      <c r="E623" s="457">
        <v>75.113205033886999</v>
      </c>
      <c r="F623" s="458">
        <v>2.96498459168586E-3</v>
      </c>
      <c r="G623" s="459">
        <v>3.04965331147471E-3</v>
      </c>
    </row>
    <row r="624" spans="1:7" x14ac:dyDescent="0.25">
      <c r="A624" s="11" t="s">
        <v>6384</v>
      </c>
      <c r="B624" s="11"/>
      <c r="C624" s="460">
        <v>1</v>
      </c>
      <c r="D624" s="460">
        <v>55.4562863982596</v>
      </c>
      <c r="E624" s="461">
        <v>56.949120461764799</v>
      </c>
      <c r="F624" s="462">
        <v>2.2515674491621501E-3</v>
      </c>
      <c r="G624" s="463">
        <v>2.3121776487029198E-3</v>
      </c>
    </row>
    <row r="625" spans="1:7" x14ac:dyDescent="0.25">
      <c r="A625" s="6" t="s">
        <v>6385</v>
      </c>
      <c r="B625" s="6"/>
      <c r="C625" s="456">
        <v>1</v>
      </c>
      <c r="D625" s="456">
        <v>40.324065728696503</v>
      </c>
      <c r="E625" s="457">
        <v>41.044040815438102</v>
      </c>
      <c r="F625" s="458">
        <v>1.6371877691301201E-3</v>
      </c>
      <c r="G625" s="459">
        <v>1.6664193058016101E-3</v>
      </c>
    </row>
    <row r="626" spans="1:7" x14ac:dyDescent="0.25">
      <c r="A626" s="11" t="s">
        <v>6293</v>
      </c>
      <c r="B626" s="11" t="s">
        <v>6294</v>
      </c>
      <c r="C626" s="460">
        <v>2986</v>
      </c>
      <c r="D626" s="460">
        <v>2463008</v>
      </c>
      <c r="E626" s="461">
        <v>4.2423032092438703E-8</v>
      </c>
      <c r="F626" s="462">
        <v>100</v>
      </c>
      <c r="G626" s="463">
        <v>9.5873031797334296E-14</v>
      </c>
    </row>
    <row r="627" spans="1:7" x14ac:dyDescent="0.25">
      <c r="A627" s="6" t="s">
        <v>6293</v>
      </c>
      <c r="B627" s="6" t="s">
        <v>6295</v>
      </c>
      <c r="C627" s="456">
        <v>2986</v>
      </c>
      <c r="D627" s="456">
        <v>2463008</v>
      </c>
      <c r="E627" s="457">
        <v>0</v>
      </c>
      <c r="F627" s="458">
        <v>100</v>
      </c>
      <c r="G627" s="459">
        <v>0</v>
      </c>
    </row>
    <row r="628" spans="1:7" x14ac:dyDescent="0.25">
      <c r="A628" s="3353" t="s">
        <v>260</v>
      </c>
      <c r="B628" s="3354"/>
      <c r="C628" s="3354"/>
      <c r="D628" s="3354"/>
      <c r="E628" s="3354"/>
      <c r="F628" s="3354"/>
      <c r="G628" s="3354"/>
    </row>
    <row r="629" spans="1:7" x14ac:dyDescent="0.25">
      <c r="A629" s="11" t="s">
        <v>990</v>
      </c>
      <c r="B629" s="11" t="s">
        <v>3035</v>
      </c>
      <c r="C629" s="468">
        <v>2966</v>
      </c>
      <c r="D629" s="468">
        <v>2453485.1253320202</v>
      </c>
      <c r="E629" s="469">
        <v>5040.4558132029697</v>
      </c>
      <c r="F629" s="470">
        <v>99.613364038282299</v>
      </c>
      <c r="G629" s="471">
        <v>0.20464634354453101</v>
      </c>
    </row>
    <row r="630" spans="1:7" x14ac:dyDescent="0.25">
      <c r="A630" s="6" t="s">
        <v>1179</v>
      </c>
      <c r="B630" s="6" t="s">
        <v>3064</v>
      </c>
      <c r="C630" s="464">
        <v>2</v>
      </c>
      <c r="D630" s="464">
        <v>4649.3568074492096</v>
      </c>
      <c r="E630" s="465">
        <v>4782.68195574735</v>
      </c>
      <c r="F630" s="466">
        <v>0.18876742614921299</v>
      </c>
      <c r="G630" s="467">
        <v>0.194180528676616</v>
      </c>
    </row>
    <row r="631" spans="1:7" x14ac:dyDescent="0.25">
      <c r="A631" s="11" t="s">
        <v>3056</v>
      </c>
      <c r="B631" s="11" t="s">
        <v>3057</v>
      </c>
      <c r="C631" s="468">
        <v>1</v>
      </c>
      <c r="D631" s="468">
        <v>2153.4316136642701</v>
      </c>
      <c r="E631" s="469">
        <v>2447.4955707003301</v>
      </c>
      <c r="F631" s="470">
        <v>8.7430963020187893E-2</v>
      </c>
      <c r="G631" s="471">
        <v>9.9370183560115302E-2</v>
      </c>
    </row>
    <row r="632" spans="1:7" x14ac:dyDescent="0.25">
      <c r="A632" s="6" t="s">
        <v>1097</v>
      </c>
      <c r="B632" s="6" t="s">
        <v>3095</v>
      </c>
      <c r="C632" s="464">
        <v>4</v>
      </c>
      <c r="D632" s="464">
        <v>1088.4203536605601</v>
      </c>
      <c r="E632" s="465">
        <v>454.85542154484</v>
      </c>
      <c r="F632" s="466">
        <v>4.4190695022531798E-2</v>
      </c>
      <c r="G632" s="467">
        <v>1.8467476416838199E-2</v>
      </c>
    </row>
    <row r="633" spans="1:7" x14ac:dyDescent="0.25">
      <c r="A633" s="11" t="s">
        <v>3062</v>
      </c>
      <c r="B633" s="11" t="s">
        <v>3063</v>
      </c>
      <c r="C633" s="468">
        <v>1</v>
      </c>
      <c r="D633" s="468">
        <v>336.30120704546601</v>
      </c>
      <c r="E633" s="469">
        <v>344.98890756827598</v>
      </c>
      <c r="F633" s="470">
        <v>1.3654085047448699E-2</v>
      </c>
      <c r="G633" s="471">
        <v>1.40068123030163E-2</v>
      </c>
    </row>
    <row r="634" spans="1:7" x14ac:dyDescent="0.25">
      <c r="A634" s="6" t="s">
        <v>1085</v>
      </c>
      <c r="B634" s="6" t="s">
        <v>3080</v>
      </c>
      <c r="C634" s="464">
        <v>3</v>
      </c>
      <c r="D634" s="464">
        <v>270.38898635437602</v>
      </c>
      <c r="E634" s="465">
        <v>176.30865163169199</v>
      </c>
      <c r="F634" s="466">
        <v>1.0977998705419399E-2</v>
      </c>
      <c r="G634" s="467">
        <v>7.1582654880411097E-3</v>
      </c>
    </row>
    <row r="635" spans="1:7" x14ac:dyDescent="0.25">
      <c r="A635" s="11" t="s">
        <v>1077</v>
      </c>
      <c r="B635" s="11" t="s">
        <v>3065</v>
      </c>
      <c r="C635" s="468">
        <v>1</v>
      </c>
      <c r="D635" s="468">
        <v>243.39472597127201</v>
      </c>
      <c r="E635" s="469">
        <v>247.839008881486</v>
      </c>
      <c r="F635" s="470">
        <v>9.8820111819073308E-3</v>
      </c>
      <c r="G635" s="471">
        <v>1.00624524516967E-2</v>
      </c>
    </row>
    <row r="636" spans="1:7" x14ac:dyDescent="0.25">
      <c r="A636" s="6" t="s">
        <v>1023</v>
      </c>
      <c r="B636" s="6" t="s">
        <v>3043</v>
      </c>
      <c r="C636" s="464">
        <v>1</v>
      </c>
      <c r="D636" s="464">
        <v>194.59727742908899</v>
      </c>
      <c r="E636" s="465">
        <v>197.111437190255</v>
      </c>
      <c r="F636" s="466">
        <v>7.9007976193779701E-3</v>
      </c>
      <c r="G636" s="467">
        <v>8.0028744198254592E-3</v>
      </c>
    </row>
    <row r="637" spans="1:7" x14ac:dyDescent="0.25">
      <c r="A637" s="11" t="s">
        <v>1177</v>
      </c>
      <c r="B637" s="11" t="s">
        <v>3049</v>
      </c>
      <c r="C637" s="468">
        <v>1</v>
      </c>
      <c r="D637" s="468">
        <v>158.036701308218</v>
      </c>
      <c r="E637" s="469">
        <v>158.49481785624701</v>
      </c>
      <c r="F637" s="470">
        <v>6.4164103936413504E-3</v>
      </c>
      <c r="G637" s="471">
        <v>6.4350102742763001E-3</v>
      </c>
    </row>
    <row r="638" spans="1:7" x14ac:dyDescent="0.25">
      <c r="A638" s="6" t="s">
        <v>3089</v>
      </c>
      <c r="B638" s="6" t="s">
        <v>3090</v>
      </c>
      <c r="C638" s="464">
        <v>1</v>
      </c>
      <c r="D638" s="464">
        <v>133.24087940269601</v>
      </c>
      <c r="E638" s="465">
        <v>139.435991770058</v>
      </c>
      <c r="F638" s="466">
        <v>5.4096811460903104E-3</v>
      </c>
      <c r="G638" s="467">
        <v>5.6612074248259996E-3</v>
      </c>
    </row>
    <row r="639" spans="1:7" x14ac:dyDescent="0.25">
      <c r="A639" s="11" t="s">
        <v>3069</v>
      </c>
      <c r="B639" s="11" t="s">
        <v>3070</v>
      </c>
      <c r="C639" s="468">
        <v>2</v>
      </c>
      <c r="D639" s="468">
        <v>126.897955880312</v>
      </c>
      <c r="E639" s="469">
        <v>127.248245762485</v>
      </c>
      <c r="F639" s="470">
        <v>5.1521536219253797E-3</v>
      </c>
      <c r="G639" s="471">
        <v>5.1663756578332297E-3</v>
      </c>
    </row>
    <row r="640" spans="1:7" x14ac:dyDescent="0.25">
      <c r="A640" s="6" t="s">
        <v>1027</v>
      </c>
      <c r="B640" s="6" t="s">
        <v>3044</v>
      </c>
      <c r="C640" s="464">
        <v>1</v>
      </c>
      <c r="D640" s="464">
        <v>73.027807691990006</v>
      </c>
      <c r="E640" s="465">
        <v>75.113205033886999</v>
      </c>
      <c r="F640" s="466">
        <v>2.96498459168586E-3</v>
      </c>
      <c r="G640" s="467">
        <v>3.04965331147471E-3</v>
      </c>
    </row>
    <row r="641" spans="1:7" x14ac:dyDescent="0.25">
      <c r="A641" s="11" t="s">
        <v>1079</v>
      </c>
      <c r="B641" s="11" t="s">
        <v>3066</v>
      </c>
      <c r="C641" s="468">
        <v>1</v>
      </c>
      <c r="D641" s="468">
        <v>55.4562863982596</v>
      </c>
      <c r="E641" s="469">
        <v>56.949120461764799</v>
      </c>
      <c r="F641" s="470">
        <v>2.2515674491621501E-3</v>
      </c>
      <c r="G641" s="471">
        <v>2.3121776487029198E-3</v>
      </c>
    </row>
    <row r="642" spans="1:7" x14ac:dyDescent="0.25">
      <c r="A642" s="6" t="s">
        <v>1013</v>
      </c>
      <c r="B642" s="6" t="s">
        <v>3038</v>
      </c>
      <c r="C642" s="464">
        <v>1</v>
      </c>
      <c r="D642" s="464">
        <v>40.324065728696503</v>
      </c>
      <c r="E642" s="465">
        <v>41.044040815438102</v>
      </c>
      <c r="F642" s="466">
        <v>1.6371877691301201E-3</v>
      </c>
      <c r="G642" s="467">
        <v>1.6664193058016101E-3</v>
      </c>
    </row>
    <row r="643" spans="1:7" x14ac:dyDescent="0.25">
      <c r="A643" s="11" t="s">
        <v>6293</v>
      </c>
      <c r="B643" s="11" t="s">
        <v>6294</v>
      </c>
      <c r="C643" s="468">
        <v>2986</v>
      </c>
      <c r="D643" s="468">
        <v>2463008</v>
      </c>
      <c r="E643" s="469">
        <v>4.2423032092438703E-8</v>
      </c>
      <c r="F643" s="470">
        <v>100</v>
      </c>
      <c r="G643" s="471">
        <v>9.5873031797334296E-14</v>
      </c>
    </row>
    <row r="644" spans="1:7" x14ac:dyDescent="0.25">
      <c r="A644" s="6" t="s">
        <v>6293</v>
      </c>
      <c r="B644" s="6" t="s">
        <v>6295</v>
      </c>
      <c r="C644" s="464">
        <v>2986</v>
      </c>
      <c r="D644" s="464">
        <v>2463008</v>
      </c>
      <c r="E644" s="465">
        <v>0</v>
      </c>
      <c r="F644" s="466">
        <v>100</v>
      </c>
      <c r="G644" s="467">
        <v>0</v>
      </c>
    </row>
    <row r="645" spans="1:7" x14ac:dyDescent="0.25">
      <c r="A645" s="3353" t="s">
        <v>419</v>
      </c>
      <c r="B645" s="3354"/>
      <c r="C645" s="3354"/>
      <c r="D645" s="3354"/>
      <c r="E645" s="3354"/>
      <c r="F645" s="3354"/>
      <c r="G645" s="3354"/>
    </row>
    <row r="646" spans="1:7" x14ac:dyDescent="0.25">
      <c r="A646" s="11" t="s">
        <v>6298</v>
      </c>
      <c r="B646" s="11"/>
      <c r="C646" s="476">
        <v>1712</v>
      </c>
      <c r="D646" s="476">
        <v>1281849.1575152599</v>
      </c>
      <c r="E646" s="477">
        <v>36031.076619053201</v>
      </c>
      <c r="F646" s="478">
        <v>52.044051725177702</v>
      </c>
      <c r="G646" s="479">
        <v>1.46288914283072</v>
      </c>
    </row>
    <row r="647" spans="1:7" x14ac:dyDescent="0.25">
      <c r="A647" s="6" t="s">
        <v>6296</v>
      </c>
      <c r="B647" s="6"/>
      <c r="C647" s="472">
        <v>1018</v>
      </c>
      <c r="D647" s="472">
        <v>806208.99086558202</v>
      </c>
      <c r="E647" s="473">
        <v>22469.116219574</v>
      </c>
      <c r="F647" s="474">
        <v>32.732698832711201</v>
      </c>
      <c r="G647" s="475">
        <v>0.91226322527472503</v>
      </c>
    </row>
    <row r="648" spans="1:7" x14ac:dyDescent="0.25">
      <c r="A648" s="11" t="s">
        <v>6297</v>
      </c>
      <c r="B648" s="11"/>
      <c r="C648" s="476">
        <v>194</v>
      </c>
      <c r="D648" s="476">
        <v>248965.69599519001</v>
      </c>
      <c r="E648" s="477">
        <v>21903.3064961331</v>
      </c>
      <c r="F648" s="478">
        <v>10.1081968063112</v>
      </c>
      <c r="G648" s="479">
        <v>0.88929091972633501</v>
      </c>
    </row>
    <row r="649" spans="1:7" x14ac:dyDescent="0.25">
      <c r="A649" s="6" t="s">
        <v>6300</v>
      </c>
      <c r="B649" s="6"/>
      <c r="C649" s="472">
        <v>54</v>
      </c>
      <c r="D649" s="472">
        <v>105853.838979231</v>
      </c>
      <c r="E649" s="473">
        <v>26443.4007413236</v>
      </c>
      <c r="F649" s="474">
        <v>4.2977464538982897</v>
      </c>
      <c r="G649" s="475">
        <v>1.07362220266129</v>
      </c>
    </row>
    <row r="650" spans="1:7" x14ac:dyDescent="0.25">
      <c r="A650" s="11" t="s">
        <v>6299</v>
      </c>
      <c r="B650" s="11"/>
      <c r="C650" s="476">
        <v>7</v>
      </c>
      <c r="D650" s="476">
        <v>13821.737222928999</v>
      </c>
      <c r="E650" s="477">
        <v>7555.6486942367801</v>
      </c>
      <c r="F650" s="478">
        <v>0.561173054368034</v>
      </c>
      <c r="G650" s="479">
        <v>0.30676508944497</v>
      </c>
    </row>
    <row r="651" spans="1:7" x14ac:dyDescent="0.25">
      <c r="A651" s="6" t="s">
        <v>6302</v>
      </c>
      <c r="B651" s="6"/>
      <c r="C651" s="472">
        <v>2</v>
      </c>
      <c r="D651" s="472">
        <v>6308.5794218028204</v>
      </c>
      <c r="E651" s="473">
        <v>5264.82840168657</v>
      </c>
      <c r="F651" s="474">
        <v>0.25613312753360201</v>
      </c>
      <c r="G651" s="475">
        <v>0.213756041461764</v>
      </c>
    </row>
    <row r="652" spans="1:7" x14ac:dyDescent="0.25">
      <c r="A652" s="11" t="s">
        <v>6293</v>
      </c>
      <c r="B652" s="11" t="s">
        <v>6294</v>
      </c>
      <c r="C652" s="476">
        <v>2987</v>
      </c>
      <c r="D652" s="476">
        <v>2463008</v>
      </c>
      <c r="E652" s="477">
        <v>2.4395369664749002E-8</v>
      </c>
      <c r="F652" s="478">
        <v>100</v>
      </c>
      <c r="G652" s="479">
        <v>2.0557335828564899E-14</v>
      </c>
    </row>
    <row r="653" spans="1:7" x14ac:dyDescent="0.25">
      <c r="A653" s="6" t="s">
        <v>6293</v>
      </c>
      <c r="B653" s="6" t="s">
        <v>6295</v>
      </c>
      <c r="C653" s="472">
        <v>2987</v>
      </c>
      <c r="D653" s="472">
        <v>2463008</v>
      </c>
      <c r="E653" s="473">
        <v>0</v>
      </c>
      <c r="F653" s="474">
        <v>100</v>
      </c>
      <c r="G653" s="475">
        <v>0</v>
      </c>
    </row>
    <row r="654" spans="1:7" x14ac:dyDescent="0.25">
      <c r="A654" s="3353" t="s">
        <v>965</v>
      </c>
      <c r="B654" s="3354"/>
      <c r="C654" s="3354"/>
      <c r="D654" s="3354"/>
      <c r="E654" s="3354"/>
      <c r="F654" s="3354"/>
      <c r="G654" s="3354"/>
    </row>
    <row r="655" spans="1:7" x14ac:dyDescent="0.25">
      <c r="A655" s="11" t="s">
        <v>1174</v>
      </c>
      <c r="B655" s="11"/>
      <c r="C655" s="484">
        <v>2842</v>
      </c>
      <c r="D655" s="484">
        <v>2152744.9633395299</v>
      </c>
      <c r="E655" s="485">
        <v>27666.655662614001</v>
      </c>
      <c r="F655" s="486">
        <v>87.403084494225396</v>
      </c>
      <c r="G655" s="487">
        <v>1.1232872837853001</v>
      </c>
    </row>
    <row r="656" spans="1:7" x14ac:dyDescent="0.25">
      <c r="A656" s="6" t="s">
        <v>6296</v>
      </c>
      <c r="B656" s="6"/>
      <c r="C656" s="480">
        <v>94</v>
      </c>
      <c r="D656" s="480">
        <v>199511.241611156</v>
      </c>
      <c r="E656" s="481">
        <v>24638.643239318</v>
      </c>
      <c r="F656" s="482">
        <v>8.1003083063943109</v>
      </c>
      <c r="G656" s="483">
        <v>1.0003476740358901</v>
      </c>
    </row>
    <row r="657" spans="1:7" x14ac:dyDescent="0.25">
      <c r="A657" s="11" t="s">
        <v>6298</v>
      </c>
      <c r="B657" s="11"/>
      <c r="C657" s="484">
        <v>45</v>
      </c>
      <c r="D657" s="484">
        <v>94782.451429807697</v>
      </c>
      <c r="E657" s="485">
        <v>17565.464571185301</v>
      </c>
      <c r="F657" s="486">
        <v>3.84823969024086</v>
      </c>
      <c r="G657" s="487">
        <v>0.71317123497712598</v>
      </c>
    </row>
    <row r="658" spans="1:7" x14ac:dyDescent="0.25">
      <c r="A658" s="6" t="s">
        <v>6297</v>
      </c>
      <c r="B658" s="6"/>
      <c r="C658" s="480">
        <v>5</v>
      </c>
      <c r="D658" s="480">
        <v>15969.3436195059</v>
      </c>
      <c r="E658" s="481">
        <v>14673.3140717348</v>
      </c>
      <c r="F658" s="482">
        <v>0.64836750913947006</v>
      </c>
      <c r="G658" s="483">
        <v>0.595747722773731</v>
      </c>
    </row>
    <row r="659" spans="1:7" x14ac:dyDescent="0.25">
      <c r="A659" s="11" t="s">
        <v>6293</v>
      </c>
      <c r="B659" s="11" t="s">
        <v>6294</v>
      </c>
      <c r="C659" s="484">
        <v>2986</v>
      </c>
      <c r="D659" s="484">
        <v>2463008</v>
      </c>
      <c r="E659" s="485">
        <v>1.48094095389166E-8</v>
      </c>
      <c r="F659" s="486">
        <v>100</v>
      </c>
      <c r="G659" s="487">
        <v>9.96553828182772E-14</v>
      </c>
    </row>
    <row r="660" spans="1:7" x14ac:dyDescent="0.25">
      <c r="A660" s="6" t="s">
        <v>6293</v>
      </c>
      <c r="B660" s="6" t="s">
        <v>6295</v>
      </c>
      <c r="C660" s="480">
        <v>2986</v>
      </c>
      <c r="D660" s="480">
        <v>2463008</v>
      </c>
      <c r="E660" s="481">
        <v>0</v>
      </c>
      <c r="F660" s="482">
        <v>100</v>
      </c>
      <c r="G660" s="483">
        <v>0</v>
      </c>
    </row>
    <row r="661" spans="1:7" x14ac:dyDescent="0.25">
      <c r="A661" s="3353" t="s">
        <v>936</v>
      </c>
      <c r="B661" s="3354"/>
      <c r="C661" s="3354"/>
      <c r="D661" s="3354"/>
      <c r="E661" s="3354"/>
      <c r="F661" s="3354"/>
      <c r="G661" s="3354"/>
    </row>
    <row r="662" spans="1:7" x14ac:dyDescent="0.25">
      <c r="A662" s="11" t="s">
        <v>6296</v>
      </c>
      <c r="B662" s="11"/>
      <c r="C662" s="492">
        <v>928</v>
      </c>
      <c r="D662" s="492">
        <v>986237.86582789698</v>
      </c>
      <c r="E662" s="493">
        <v>34894.755528841197</v>
      </c>
      <c r="F662" s="494">
        <v>40.042008220350802</v>
      </c>
      <c r="G662" s="495">
        <v>1.41675364143523</v>
      </c>
    </row>
    <row r="663" spans="1:7" x14ac:dyDescent="0.25">
      <c r="A663" s="6" t="s">
        <v>1174</v>
      </c>
      <c r="B663" s="6"/>
      <c r="C663" s="488">
        <v>1454</v>
      </c>
      <c r="D663" s="488">
        <v>745716.99999999895</v>
      </c>
      <c r="E663" s="489">
        <v>1.0893211446948201E-8</v>
      </c>
      <c r="F663" s="490">
        <v>30.276677948264901</v>
      </c>
      <c r="G663" s="491">
        <v>3.6666185434565901E-13</v>
      </c>
    </row>
    <row r="664" spans="1:7" x14ac:dyDescent="0.25">
      <c r="A664" s="11" t="s">
        <v>6298</v>
      </c>
      <c r="B664" s="11"/>
      <c r="C664" s="492">
        <v>524</v>
      </c>
      <c r="D664" s="492">
        <v>600871.80944012897</v>
      </c>
      <c r="E664" s="493">
        <v>44671.382760057597</v>
      </c>
      <c r="F664" s="494">
        <v>24.395852934303502</v>
      </c>
      <c r="G664" s="495">
        <v>1.8136921504135299</v>
      </c>
    </row>
    <row r="665" spans="1:7" x14ac:dyDescent="0.25">
      <c r="A665" s="6" t="s">
        <v>6297</v>
      </c>
      <c r="B665" s="6"/>
      <c r="C665" s="488">
        <v>68</v>
      </c>
      <c r="D665" s="488">
        <v>102459.464455294</v>
      </c>
      <c r="E665" s="489">
        <v>26566.457682615699</v>
      </c>
      <c r="F665" s="490">
        <v>4.15993226393475</v>
      </c>
      <c r="G665" s="491">
        <v>1.0786184081665899</v>
      </c>
    </row>
    <row r="666" spans="1:7" x14ac:dyDescent="0.25">
      <c r="A666" s="11" t="s">
        <v>6300</v>
      </c>
      <c r="B666" s="11"/>
      <c r="C666" s="492">
        <v>10</v>
      </c>
      <c r="D666" s="492">
        <v>17623.868137035399</v>
      </c>
      <c r="E666" s="493">
        <v>6696.7573541535203</v>
      </c>
      <c r="F666" s="494">
        <v>0.71554246421592504</v>
      </c>
      <c r="G666" s="495">
        <v>0.27189344712455399</v>
      </c>
    </row>
    <row r="667" spans="1:7" x14ac:dyDescent="0.25">
      <c r="A667" s="6" t="s">
        <v>6302</v>
      </c>
      <c r="B667" s="6"/>
      <c r="C667" s="488">
        <v>1</v>
      </c>
      <c r="D667" s="488">
        <v>5273.0842472458098</v>
      </c>
      <c r="E667" s="489">
        <v>5378.7564563078904</v>
      </c>
      <c r="F667" s="490">
        <v>0.21409123507701999</v>
      </c>
      <c r="G667" s="491">
        <v>0.21838160721799901</v>
      </c>
    </row>
    <row r="668" spans="1:7" x14ac:dyDescent="0.25">
      <c r="A668" s="11" t="s">
        <v>6299</v>
      </c>
      <c r="B668" s="11"/>
      <c r="C668" s="492">
        <v>2</v>
      </c>
      <c r="D668" s="492">
        <v>4824.9078923981297</v>
      </c>
      <c r="E668" s="493">
        <v>3996.1117393547602</v>
      </c>
      <c r="F668" s="494">
        <v>0.195894933853164</v>
      </c>
      <c r="G668" s="495">
        <v>0.162245179039401</v>
      </c>
    </row>
    <row r="669" spans="1:7" x14ac:dyDescent="0.25">
      <c r="A669" s="6" t="s">
        <v>6293</v>
      </c>
      <c r="B669" s="6" t="s">
        <v>6294</v>
      </c>
      <c r="C669" s="488">
        <v>2987</v>
      </c>
      <c r="D669" s="488">
        <v>2463008</v>
      </c>
      <c r="E669" s="489">
        <v>7.6515957364602898E-9</v>
      </c>
      <c r="F669" s="490">
        <v>100</v>
      </c>
      <c r="G669" s="491">
        <v>1.45362315675074E-14</v>
      </c>
    </row>
    <row r="670" spans="1:7" x14ac:dyDescent="0.25">
      <c r="A670" s="11" t="s">
        <v>6293</v>
      </c>
      <c r="B670" s="11" t="s">
        <v>6295</v>
      </c>
      <c r="C670" s="492">
        <v>2987</v>
      </c>
      <c r="D670" s="492">
        <v>2463008</v>
      </c>
      <c r="E670" s="493">
        <v>0</v>
      </c>
      <c r="F670" s="494">
        <v>100</v>
      </c>
      <c r="G670" s="495">
        <v>0</v>
      </c>
    </row>
    <row r="671" spans="1:7" x14ac:dyDescent="0.25">
      <c r="A671" s="3353" t="s">
        <v>647</v>
      </c>
      <c r="B671" s="3354"/>
      <c r="C671" s="3354"/>
      <c r="D671" s="3354"/>
      <c r="E671" s="3354"/>
      <c r="F671" s="3354"/>
      <c r="G671" s="3354"/>
    </row>
    <row r="672" spans="1:7" x14ac:dyDescent="0.25">
      <c r="A672" s="11" t="s">
        <v>6386</v>
      </c>
      <c r="B672" s="11"/>
      <c r="C672" s="500">
        <v>303</v>
      </c>
      <c r="D672" s="500">
        <v>209187.01794346201</v>
      </c>
      <c r="E672" s="501">
        <v>9.6043055722505197E-2</v>
      </c>
      <c r="F672" s="502">
        <v>8.4931521920944704</v>
      </c>
      <c r="G672" s="503">
        <v>3.8994211166728104E-6</v>
      </c>
    </row>
    <row r="673" spans="1:7" x14ac:dyDescent="0.25">
      <c r="A673" s="6" t="s">
        <v>6387</v>
      </c>
      <c r="B673" s="6"/>
      <c r="C673" s="496">
        <v>344</v>
      </c>
      <c r="D673" s="496">
        <v>209187.01745868099</v>
      </c>
      <c r="E673" s="497">
        <v>9.3263388210253498E-2</v>
      </c>
      <c r="F673" s="498">
        <v>8.4931521724119694</v>
      </c>
      <c r="G673" s="499">
        <v>3.78656450144848E-6</v>
      </c>
    </row>
    <row r="674" spans="1:7" x14ac:dyDescent="0.25">
      <c r="A674" s="11" t="s">
        <v>6388</v>
      </c>
      <c r="B674" s="11"/>
      <c r="C674" s="500">
        <v>206</v>
      </c>
      <c r="D674" s="500">
        <v>209187.013610939</v>
      </c>
      <c r="E674" s="501">
        <v>7.2422950623185503E-2</v>
      </c>
      <c r="F674" s="502">
        <v>8.4931520161907397</v>
      </c>
      <c r="G674" s="503">
        <v>2.9404268692126699E-6</v>
      </c>
    </row>
    <row r="675" spans="1:7" x14ac:dyDescent="0.25">
      <c r="A675" s="6" t="s">
        <v>6389</v>
      </c>
      <c r="B675" s="6"/>
      <c r="C675" s="496">
        <v>131</v>
      </c>
      <c r="D675" s="496">
        <v>209187.01122697</v>
      </c>
      <c r="E675" s="497">
        <v>6.11245464801565E-2</v>
      </c>
      <c r="F675" s="498">
        <v>8.4931519193997609</v>
      </c>
      <c r="G675" s="499">
        <v>2.4817030490493802E-6</v>
      </c>
    </row>
    <row r="676" spans="1:7" x14ac:dyDescent="0.25">
      <c r="A676" s="11" t="s">
        <v>6390</v>
      </c>
      <c r="B676" s="11"/>
      <c r="C676" s="500">
        <v>341</v>
      </c>
      <c r="D676" s="500">
        <v>209186.99760549699</v>
      </c>
      <c r="E676" s="501">
        <v>1.39715915159392E-2</v>
      </c>
      <c r="F676" s="502">
        <v>8.4931513663575995</v>
      </c>
      <c r="G676" s="503">
        <v>5.6725731315960801E-7</v>
      </c>
    </row>
    <row r="677" spans="1:7" x14ac:dyDescent="0.25">
      <c r="A677" s="6" t="s">
        <v>6391</v>
      </c>
      <c r="B677" s="6"/>
      <c r="C677" s="496">
        <v>290</v>
      </c>
      <c r="D677" s="496">
        <v>209186.987860503</v>
      </c>
      <c r="E677" s="497">
        <v>6.7975630165063805E-2</v>
      </c>
      <c r="F677" s="498">
        <v>8.4931509707034198</v>
      </c>
      <c r="G677" s="499">
        <v>2.7598624061313501E-6</v>
      </c>
    </row>
    <row r="678" spans="1:7" x14ac:dyDescent="0.25">
      <c r="A678" s="11" t="s">
        <v>6392</v>
      </c>
      <c r="B678" s="11"/>
      <c r="C678" s="500">
        <v>274</v>
      </c>
      <c r="D678" s="500">
        <v>209186.98577427299</v>
      </c>
      <c r="E678" s="501">
        <v>7.5616365355651693E-2</v>
      </c>
      <c r="F678" s="502">
        <v>8.4931508860008798</v>
      </c>
      <c r="G678" s="503">
        <v>3.0700820777248499E-6</v>
      </c>
    </row>
    <row r="679" spans="1:7" x14ac:dyDescent="0.25">
      <c r="A679" s="6" t="s">
        <v>6393</v>
      </c>
      <c r="B679" s="6"/>
      <c r="C679" s="496">
        <v>274</v>
      </c>
      <c r="D679" s="496">
        <v>202439.005311949</v>
      </c>
      <c r="E679" s="497">
        <v>3.1448421542663002E-2</v>
      </c>
      <c r="F679" s="498">
        <v>8.2191777416861598</v>
      </c>
      <c r="G679" s="499">
        <v>1.2768298013496899E-6</v>
      </c>
    </row>
    <row r="680" spans="1:7" x14ac:dyDescent="0.25">
      <c r="A680" s="11" t="s">
        <v>6394</v>
      </c>
      <c r="B680" s="11"/>
      <c r="C680" s="500">
        <v>187</v>
      </c>
      <c r="D680" s="500">
        <v>202439.005058604</v>
      </c>
      <c r="E680" s="501">
        <v>2.66855707736612E-2</v>
      </c>
      <c r="F680" s="502">
        <v>8.2191777314001193</v>
      </c>
      <c r="G680" s="503">
        <v>1.08345442996932E-6</v>
      </c>
    </row>
    <row r="681" spans="1:7" x14ac:dyDescent="0.25">
      <c r="A681" s="6" t="s">
        <v>6395</v>
      </c>
      <c r="B681" s="6"/>
      <c r="C681" s="496">
        <v>306</v>
      </c>
      <c r="D681" s="496">
        <v>202438.993724253</v>
      </c>
      <c r="E681" s="497">
        <v>3.4727287533084503E-2</v>
      </c>
      <c r="F681" s="498">
        <v>8.2191772712168696</v>
      </c>
      <c r="G681" s="499">
        <v>1.4099543739515799E-6</v>
      </c>
    </row>
    <row r="682" spans="1:7" x14ac:dyDescent="0.25">
      <c r="A682" s="11" t="s">
        <v>6396</v>
      </c>
      <c r="B682" s="11"/>
      <c r="C682" s="500">
        <v>196</v>
      </c>
      <c r="D682" s="500">
        <v>188942.99670411501</v>
      </c>
      <c r="E682" s="501">
        <v>1.9375394479084599E-2</v>
      </c>
      <c r="F682" s="502">
        <v>7.6712295170829696</v>
      </c>
      <c r="G682" s="503">
        <v>7.8665582009243603E-7</v>
      </c>
    </row>
    <row r="683" spans="1:7" x14ac:dyDescent="0.25">
      <c r="A683" s="6" t="s">
        <v>6397</v>
      </c>
      <c r="B683" s="6"/>
      <c r="C683" s="496">
        <v>104</v>
      </c>
      <c r="D683" s="496">
        <v>165288.367626569</v>
      </c>
      <c r="E683" s="497">
        <v>8833.7785719559906</v>
      </c>
      <c r="F683" s="498">
        <v>6.7108335671897503</v>
      </c>
      <c r="G683" s="499">
        <v>0.35865813557877002</v>
      </c>
    </row>
    <row r="684" spans="1:7" x14ac:dyDescent="0.25">
      <c r="A684" s="11" t="s">
        <v>6398</v>
      </c>
      <c r="B684" s="11"/>
      <c r="C684" s="500">
        <v>31</v>
      </c>
      <c r="D684" s="500">
        <v>37150.600094185997</v>
      </c>
      <c r="E684" s="501">
        <v>8833.7770133405593</v>
      </c>
      <c r="F684" s="502">
        <v>1.50834264826529</v>
      </c>
      <c r="G684" s="503">
        <v>0.358658072297799</v>
      </c>
    </row>
    <row r="685" spans="1:7" x14ac:dyDescent="0.25">
      <c r="A685" s="6" t="s">
        <v>6293</v>
      </c>
      <c r="B685" s="6" t="s">
        <v>6294</v>
      </c>
      <c r="C685" s="496">
        <v>2987</v>
      </c>
      <c r="D685" s="496">
        <v>2463008</v>
      </c>
      <c r="E685" s="497">
        <v>1.9994794492637299E-8</v>
      </c>
      <c r="F685" s="498">
        <v>100</v>
      </c>
      <c r="G685" s="499">
        <v>2.29838001744816E-14</v>
      </c>
    </row>
    <row r="686" spans="1:7" x14ac:dyDescent="0.25">
      <c r="A686" s="11" t="s">
        <v>6293</v>
      </c>
      <c r="B686" s="11" t="s">
        <v>6295</v>
      </c>
      <c r="C686" s="500">
        <v>2987</v>
      </c>
      <c r="D686" s="500">
        <v>2463008</v>
      </c>
      <c r="E686" s="501">
        <v>0</v>
      </c>
      <c r="F686" s="502">
        <v>100</v>
      </c>
      <c r="G686" s="503">
        <v>0</v>
      </c>
    </row>
    <row r="687" spans="1:7" x14ac:dyDescent="0.25">
      <c r="A687" s="3353" t="s">
        <v>252</v>
      </c>
      <c r="B687" s="3354"/>
      <c r="C687" s="3354"/>
      <c r="D687" s="3354"/>
      <c r="E687" s="3354"/>
      <c r="F687" s="3354"/>
      <c r="G687" s="3354"/>
    </row>
    <row r="688" spans="1:7" x14ac:dyDescent="0.25">
      <c r="A688" s="11" t="s">
        <v>984</v>
      </c>
      <c r="B688" s="11" t="s">
        <v>3018</v>
      </c>
      <c r="C688" s="508">
        <v>2834</v>
      </c>
      <c r="D688" s="508">
        <v>2323256.5751097398</v>
      </c>
      <c r="E688" s="509">
        <v>32676.757578849101</v>
      </c>
      <c r="F688" s="510">
        <v>94.325985750340095</v>
      </c>
      <c r="G688" s="511">
        <v>1.32670123600292</v>
      </c>
    </row>
    <row r="689" spans="1:7" x14ac:dyDescent="0.25">
      <c r="A689" s="6" t="s">
        <v>986</v>
      </c>
      <c r="B689" s="6" t="s">
        <v>3019</v>
      </c>
      <c r="C689" s="504">
        <v>144</v>
      </c>
      <c r="D689" s="504">
        <v>121259.672687346</v>
      </c>
      <c r="E689" s="505">
        <v>29185.638296460998</v>
      </c>
      <c r="F689" s="506">
        <v>4.9232350316095399</v>
      </c>
      <c r="G689" s="507">
        <v>1.1849591351900199</v>
      </c>
    </row>
    <row r="690" spans="1:7" x14ac:dyDescent="0.25">
      <c r="A690" s="11" t="s">
        <v>992</v>
      </c>
      <c r="B690" s="11" t="s">
        <v>3022</v>
      </c>
      <c r="C690" s="508">
        <v>2</v>
      </c>
      <c r="D690" s="508">
        <v>8496.3276289976293</v>
      </c>
      <c r="E690" s="509">
        <v>7327.0928759544304</v>
      </c>
      <c r="F690" s="510">
        <v>0.34495737037791302</v>
      </c>
      <c r="G690" s="511">
        <v>0.29748554921276898</v>
      </c>
    </row>
    <row r="691" spans="1:7" x14ac:dyDescent="0.25">
      <c r="A691" s="6" t="s">
        <v>990</v>
      </c>
      <c r="B691" s="6" t="s">
        <v>3021</v>
      </c>
      <c r="C691" s="504">
        <v>1</v>
      </c>
      <c r="D691" s="504">
        <v>7318.5381156918902</v>
      </c>
      <c r="E691" s="505">
        <v>7271.57617047027</v>
      </c>
      <c r="F691" s="506">
        <v>0.29713821943298102</v>
      </c>
      <c r="G691" s="507">
        <v>0.29523152870271901</v>
      </c>
    </row>
    <row r="692" spans="1:7" x14ac:dyDescent="0.25">
      <c r="A692" s="11" t="s">
        <v>988</v>
      </c>
      <c r="B692" s="11" t="s">
        <v>3020</v>
      </c>
      <c r="C692" s="508">
        <v>6</v>
      </c>
      <c r="D692" s="508">
        <v>2676.8864582275701</v>
      </c>
      <c r="E692" s="509">
        <v>2103.7255245849101</v>
      </c>
      <c r="F692" s="510">
        <v>0.108683628239436</v>
      </c>
      <c r="G692" s="511">
        <v>8.5412857960059901E-2</v>
      </c>
    </row>
    <row r="693" spans="1:7" x14ac:dyDescent="0.25">
      <c r="A693" s="6" t="s">
        <v>6293</v>
      </c>
      <c r="B693" s="6" t="s">
        <v>6294</v>
      </c>
      <c r="C693" s="504">
        <v>2987</v>
      </c>
      <c r="D693" s="504">
        <v>2463008</v>
      </c>
      <c r="E693" s="505">
        <v>1.49468258149304E-8</v>
      </c>
      <c r="F693" s="506">
        <v>100</v>
      </c>
      <c r="G693" s="507">
        <v>9.5873031797334296E-14</v>
      </c>
    </row>
    <row r="694" spans="1:7" x14ac:dyDescent="0.25">
      <c r="A694" s="11" t="s">
        <v>6293</v>
      </c>
      <c r="B694" s="11" t="s">
        <v>6295</v>
      </c>
      <c r="C694" s="508">
        <v>2987</v>
      </c>
      <c r="D694" s="508">
        <v>2463008</v>
      </c>
      <c r="E694" s="509">
        <v>0</v>
      </c>
      <c r="F694" s="510">
        <v>100</v>
      </c>
      <c r="G694" s="511">
        <v>0</v>
      </c>
    </row>
    <row r="695" spans="1:7" x14ac:dyDescent="0.25">
      <c r="A695" s="3353" t="s">
        <v>357</v>
      </c>
      <c r="B695" s="3354"/>
      <c r="C695" s="3354"/>
      <c r="D695" s="3354"/>
      <c r="E695" s="3354"/>
      <c r="F695" s="3354"/>
      <c r="G695" s="3354"/>
    </row>
    <row r="696" spans="1:7" x14ac:dyDescent="0.25">
      <c r="A696" s="11" t="s">
        <v>1017</v>
      </c>
      <c r="B696" s="11" t="s">
        <v>3139</v>
      </c>
      <c r="C696" s="516">
        <v>1082</v>
      </c>
      <c r="D696" s="516">
        <v>521355.486711887</v>
      </c>
      <c r="E696" s="517">
        <v>25809.729443763001</v>
      </c>
      <c r="F696" s="518">
        <v>21.1674296921442</v>
      </c>
      <c r="G696" s="519">
        <v>1.0478946655375401</v>
      </c>
    </row>
    <row r="697" spans="1:7" x14ac:dyDescent="0.25">
      <c r="A697" s="6" t="s">
        <v>986</v>
      </c>
      <c r="B697" s="6" t="s">
        <v>3131</v>
      </c>
      <c r="C697" s="512">
        <v>462</v>
      </c>
      <c r="D697" s="512">
        <v>479555.193354811</v>
      </c>
      <c r="E697" s="513">
        <v>39519.460878420497</v>
      </c>
      <c r="F697" s="514">
        <v>19.4703059573826</v>
      </c>
      <c r="G697" s="515">
        <v>1.60452019962665</v>
      </c>
    </row>
    <row r="698" spans="1:7" x14ac:dyDescent="0.25">
      <c r="A698" s="11" t="s">
        <v>984</v>
      </c>
      <c r="B698" s="11" t="s">
        <v>3130</v>
      </c>
      <c r="C698" s="516">
        <v>438</v>
      </c>
      <c r="D698" s="516">
        <v>444593.33475026197</v>
      </c>
      <c r="E698" s="517">
        <v>17284.133834431501</v>
      </c>
      <c r="F698" s="518">
        <v>18.050827879985</v>
      </c>
      <c r="G698" s="519">
        <v>0.70174899287502501</v>
      </c>
    </row>
    <row r="699" spans="1:7" x14ac:dyDescent="0.25">
      <c r="A699" s="6" t="s">
        <v>990</v>
      </c>
      <c r="B699" s="6" t="s">
        <v>3133</v>
      </c>
      <c r="C699" s="512">
        <v>148</v>
      </c>
      <c r="D699" s="512">
        <v>283275.61901051499</v>
      </c>
      <c r="E699" s="513">
        <v>29202.245058239801</v>
      </c>
      <c r="F699" s="514">
        <v>11.501205802438101</v>
      </c>
      <c r="G699" s="515">
        <v>1.18563338236173</v>
      </c>
    </row>
    <row r="700" spans="1:7" x14ac:dyDescent="0.25">
      <c r="A700" s="11" t="s">
        <v>1015</v>
      </c>
      <c r="B700" s="11" t="s">
        <v>3138</v>
      </c>
      <c r="C700" s="516">
        <v>516</v>
      </c>
      <c r="D700" s="516">
        <v>234744.665249738</v>
      </c>
      <c r="E700" s="517">
        <v>17284.133834431199</v>
      </c>
      <c r="F700" s="518">
        <v>9.5308121309284601</v>
      </c>
      <c r="G700" s="519">
        <v>0.70174899287502301</v>
      </c>
    </row>
    <row r="701" spans="1:7" x14ac:dyDescent="0.25">
      <c r="A701" s="6" t="s">
        <v>994</v>
      </c>
      <c r="B701" s="6" t="s">
        <v>3135</v>
      </c>
      <c r="C701" s="512">
        <v>170</v>
      </c>
      <c r="D701" s="512">
        <v>230039.684835544</v>
      </c>
      <c r="E701" s="513">
        <v>24199.066937447998</v>
      </c>
      <c r="F701" s="514">
        <v>9.3397863439965896</v>
      </c>
      <c r="G701" s="515">
        <v>0.982500541510546</v>
      </c>
    </row>
    <row r="702" spans="1:7" x14ac:dyDescent="0.25">
      <c r="A702" s="11" t="s">
        <v>1013</v>
      </c>
      <c r="B702" s="11" t="s">
        <v>3137</v>
      </c>
      <c r="C702" s="516">
        <v>88</v>
      </c>
      <c r="D702" s="516">
        <v>116464.240258266</v>
      </c>
      <c r="E702" s="517">
        <v>28901.175941244899</v>
      </c>
      <c r="F702" s="518">
        <v>4.72853682400814</v>
      </c>
      <c r="G702" s="519">
        <v>1.17340974699412</v>
      </c>
    </row>
    <row r="703" spans="1:7" x14ac:dyDescent="0.25">
      <c r="A703" s="6" t="s">
        <v>992</v>
      </c>
      <c r="B703" s="6" t="s">
        <v>3134</v>
      </c>
      <c r="C703" s="512">
        <v>44</v>
      </c>
      <c r="D703" s="512">
        <v>80068.879550772297</v>
      </c>
      <c r="E703" s="513">
        <v>19363.2369986208</v>
      </c>
      <c r="F703" s="514">
        <v>3.2508574698406298</v>
      </c>
      <c r="G703" s="515">
        <v>0.78616216425690999</v>
      </c>
    </row>
    <row r="704" spans="1:7" x14ac:dyDescent="0.25">
      <c r="A704" s="11" t="s">
        <v>988</v>
      </c>
      <c r="B704" s="11" t="s">
        <v>3132</v>
      </c>
      <c r="C704" s="516">
        <v>17</v>
      </c>
      <c r="D704" s="516">
        <v>49938.825660951399</v>
      </c>
      <c r="E704" s="517">
        <v>15263.2488592721</v>
      </c>
      <c r="F704" s="518">
        <v>2.02755434253366</v>
      </c>
      <c r="G704" s="519">
        <v>0.61969952429192698</v>
      </c>
    </row>
    <row r="705" spans="1:7" x14ac:dyDescent="0.25">
      <c r="A705" s="6" t="s">
        <v>1003</v>
      </c>
      <c r="B705" s="6" t="s">
        <v>3136</v>
      </c>
      <c r="C705" s="512">
        <v>22</v>
      </c>
      <c r="D705" s="512">
        <v>22972.0706172543</v>
      </c>
      <c r="E705" s="513">
        <v>11527.9901150532</v>
      </c>
      <c r="F705" s="514">
        <v>0.93268355674258097</v>
      </c>
      <c r="G705" s="515">
        <v>0.46804517545429097</v>
      </c>
    </row>
    <row r="706" spans="1:7" x14ac:dyDescent="0.25">
      <c r="A706" s="11" t="s">
        <v>6293</v>
      </c>
      <c r="B706" s="11" t="s">
        <v>6294</v>
      </c>
      <c r="C706" s="516">
        <v>2987</v>
      </c>
      <c r="D706" s="516">
        <v>2463008</v>
      </c>
      <c r="E706" s="517">
        <v>1.26722464601809E-8</v>
      </c>
      <c r="F706" s="518">
        <v>100</v>
      </c>
      <c r="G706" s="519">
        <v>9.5873031797334296E-14</v>
      </c>
    </row>
    <row r="707" spans="1:7" x14ac:dyDescent="0.25">
      <c r="A707" s="6" t="s">
        <v>6293</v>
      </c>
      <c r="B707" s="6" t="s">
        <v>6295</v>
      </c>
      <c r="C707" s="512">
        <v>2987</v>
      </c>
      <c r="D707" s="512">
        <v>2463008</v>
      </c>
      <c r="E707" s="513">
        <v>0</v>
      </c>
      <c r="F707" s="514">
        <v>100</v>
      </c>
      <c r="G707" s="515">
        <v>0</v>
      </c>
    </row>
    <row r="708" spans="1:7" x14ac:dyDescent="0.25">
      <c r="A708" s="3353" t="s">
        <v>407</v>
      </c>
      <c r="B708" s="3354"/>
      <c r="C708" s="3354"/>
      <c r="D708" s="3354"/>
      <c r="E708" s="3354"/>
      <c r="F708" s="3354"/>
      <c r="G708" s="3354"/>
    </row>
    <row r="709" spans="1:7" x14ac:dyDescent="0.25">
      <c r="A709" s="11" t="s">
        <v>986</v>
      </c>
      <c r="B709" s="11" t="s">
        <v>5985</v>
      </c>
      <c r="C709" s="524">
        <v>740</v>
      </c>
      <c r="D709" s="524">
        <v>1605777.04529496</v>
      </c>
      <c r="E709" s="525">
        <v>5232.8074881791399</v>
      </c>
      <c r="F709" s="526">
        <v>65.195770590065607</v>
      </c>
      <c r="G709" s="527">
        <v>0.21245596799436101</v>
      </c>
    </row>
    <row r="710" spans="1:7" x14ac:dyDescent="0.25">
      <c r="A710" s="6" t="s">
        <v>988</v>
      </c>
      <c r="B710" s="6" t="s">
        <v>5986</v>
      </c>
      <c r="C710" s="520">
        <v>1869</v>
      </c>
      <c r="D710" s="520">
        <v>742754.32067462394</v>
      </c>
      <c r="E710" s="521">
        <v>5917.0475153962198</v>
      </c>
      <c r="F710" s="522">
        <v>30.156390912032101</v>
      </c>
      <c r="G710" s="523">
        <v>0.24023663404246101</v>
      </c>
    </row>
    <row r="711" spans="1:7" x14ac:dyDescent="0.25">
      <c r="A711" s="11" t="s">
        <v>990</v>
      </c>
      <c r="B711" s="11" t="s">
        <v>5987</v>
      </c>
      <c r="C711" s="524">
        <v>377</v>
      </c>
      <c r="D711" s="524">
        <v>114282.03675298201</v>
      </c>
      <c r="E711" s="525">
        <v>2785.4543983973299</v>
      </c>
      <c r="F711" s="526">
        <v>4.6399377002828199</v>
      </c>
      <c r="G711" s="527">
        <v>0.113091569268038</v>
      </c>
    </row>
    <row r="712" spans="1:7" x14ac:dyDescent="0.25">
      <c r="A712" s="6" t="s">
        <v>984</v>
      </c>
      <c r="B712" s="6" t="s">
        <v>5984</v>
      </c>
      <c r="C712" s="520">
        <v>1</v>
      </c>
      <c r="D712" s="520">
        <v>194.59727742908899</v>
      </c>
      <c r="E712" s="521">
        <v>197.111437190255</v>
      </c>
      <c r="F712" s="522">
        <v>7.9007976193779805E-3</v>
      </c>
      <c r="G712" s="523">
        <v>8.0028744198254592E-3</v>
      </c>
    </row>
    <row r="713" spans="1:7" x14ac:dyDescent="0.25">
      <c r="A713" s="11" t="s">
        <v>6293</v>
      </c>
      <c r="B713" s="11" t="s">
        <v>6294</v>
      </c>
      <c r="C713" s="524">
        <v>2987</v>
      </c>
      <c r="D713" s="524">
        <v>2463008</v>
      </c>
      <c r="E713" s="525">
        <v>1.87276243607297E-8</v>
      </c>
      <c r="F713" s="526">
        <v>100</v>
      </c>
      <c r="G713" s="527">
        <v>9.8589519201957698E-14</v>
      </c>
    </row>
    <row r="714" spans="1:7" x14ac:dyDescent="0.25">
      <c r="A714" s="6" t="s">
        <v>6293</v>
      </c>
      <c r="B714" s="6" t="s">
        <v>6295</v>
      </c>
      <c r="C714" s="520">
        <v>2987</v>
      </c>
      <c r="D714" s="520">
        <v>2463008</v>
      </c>
      <c r="E714" s="521">
        <v>0</v>
      </c>
      <c r="F714" s="522">
        <v>100</v>
      </c>
      <c r="G714" s="523">
        <v>0</v>
      </c>
    </row>
    <row r="715" spans="1:7" x14ac:dyDescent="0.25">
      <c r="A715" s="3353" t="s">
        <v>409</v>
      </c>
      <c r="B715" s="3354"/>
      <c r="C715" s="3354"/>
      <c r="D715" s="3354"/>
      <c r="E715" s="3354"/>
      <c r="F715" s="3354"/>
      <c r="G715" s="3354"/>
    </row>
    <row r="716" spans="1:7" x14ac:dyDescent="0.25">
      <c r="A716" s="11" t="s">
        <v>992</v>
      </c>
      <c r="B716" s="11" t="s">
        <v>5992</v>
      </c>
      <c r="C716" s="532">
        <v>737</v>
      </c>
      <c r="D716" s="532">
        <v>1605501.73795045</v>
      </c>
      <c r="E716" s="533">
        <v>5229.5745869184002</v>
      </c>
      <c r="F716" s="534">
        <v>65.184592902274304</v>
      </c>
      <c r="G716" s="535">
        <v>0.21232470974183901</v>
      </c>
    </row>
    <row r="717" spans="1:7" x14ac:dyDescent="0.25">
      <c r="A717" s="6" t="s">
        <v>988</v>
      </c>
      <c r="B717" s="6" t="s">
        <v>5990</v>
      </c>
      <c r="C717" s="528">
        <v>235</v>
      </c>
      <c r="D717" s="528">
        <v>429625.72726438497</v>
      </c>
      <c r="E717" s="529">
        <v>18587.313101913802</v>
      </c>
      <c r="F717" s="530">
        <v>17.4431316205382</v>
      </c>
      <c r="G717" s="531">
        <v>0.75465906330443699</v>
      </c>
    </row>
    <row r="718" spans="1:7" x14ac:dyDescent="0.25">
      <c r="A718" s="11" t="s">
        <v>984</v>
      </c>
      <c r="B718" s="11" t="s">
        <v>5988</v>
      </c>
      <c r="C718" s="532">
        <v>1633</v>
      </c>
      <c r="D718" s="532">
        <v>313049.847117625</v>
      </c>
      <c r="E718" s="533">
        <v>19788.877155130602</v>
      </c>
      <c r="F718" s="534">
        <v>12.710062132060701</v>
      </c>
      <c r="G718" s="535">
        <v>0.80344347867042998</v>
      </c>
    </row>
    <row r="719" spans="1:7" x14ac:dyDescent="0.25">
      <c r="A719" s="6" t="s">
        <v>994</v>
      </c>
      <c r="B719" s="6" t="s">
        <v>5993</v>
      </c>
      <c r="C719" s="528">
        <v>377</v>
      </c>
      <c r="D719" s="528">
        <v>114282.03675298201</v>
      </c>
      <c r="E719" s="529">
        <v>2785.4543983973299</v>
      </c>
      <c r="F719" s="530">
        <v>4.6399377002828102</v>
      </c>
      <c r="G719" s="531">
        <v>0.113091569268041</v>
      </c>
    </row>
    <row r="720" spans="1:7" x14ac:dyDescent="0.25">
      <c r="A720" s="11" t="s">
        <v>990</v>
      </c>
      <c r="B720" s="11" t="s">
        <v>5991</v>
      </c>
      <c r="C720" s="532">
        <v>4</v>
      </c>
      <c r="D720" s="532">
        <v>469.90462194327</v>
      </c>
      <c r="E720" s="533">
        <v>338.97312063549498</v>
      </c>
      <c r="F720" s="534">
        <v>1.90784854106552E-2</v>
      </c>
      <c r="G720" s="535">
        <v>1.3762566773453199E-2</v>
      </c>
    </row>
    <row r="721" spans="1:7" x14ac:dyDescent="0.25">
      <c r="A721" s="6" t="s">
        <v>986</v>
      </c>
      <c r="B721" s="6" t="s">
        <v>5989</v>
      </c>
      <c r="C721" s="528">
        <v>1</v>
      </c>
      <c r="D721" s="528">
        <v>78.746292617386501</v>
      </c>
      <c r="E721" s="529">
        <v>80.986813328912504</v>
      </c>
      <c r="F721" s="530">
        <v>3.1971594333995799E-3</v>
      </c>
      <c r="G721" s="531">
        <v>3.28812628009785E-3</v>
      </c>
    </row>
    <row r="722" spans="1:7" x14ac:dyDescent="0.25">
      <c r="A722" s="11" t="s">
        <v>6293</v>
      </c>
      <c r="B722" s="11" t="s">
        <v>6294</v>
      </c>
      <c r="C722" s="532">
        <v>2987</v>
      </c>
      <c r="D722" s="532">
        <v>2463008</v>
      </c>
      <c r="E722" s="533">
        <v>2.11028030850688E-8</v>
      </c>
      <c r="F722" s="534">
        <v>100</v>
      </c>
      <c r="G722" s="535">
        <v>2.5177491625509499E-14</v>
      </c>
    </row>
    <row r="723" spans="1:7" x14ac:dyDescent="0.25">
      <c r="A723" s="6" t="s">
        <v>6293</v>
      </c>
      <c r="B723" s="6" t="s">
        <v>6295</v>
      </c>
      <c r="C723" s="528">
        <v>2987</v>
      </c>
      <c r="D723" s="528">
        <v>2463008</v>
      </c>
      <c r="E723" s="529">
        <v>0</v>
      </c>
      <c r="F723" s="530">
        <v>100</v>
      </c>
      <c r="G723" s="531">
        <v>0</v>
      </c>
    </row>
    <row r="724" spans="1:7" x14ac:dyDescent="0.25">
      <c r="A724" s="3353" t="s">
        <v>560</v>
      </c>
      <c r="B724" s="3354"/>
      <c r="C724" s="3354"/>
      <c r="D724" s="3354"/>
      <c r="E724" s="3354"/>
      <c r="F724" s="3354"/>
      <c r="G724" s="3354"/>
    </row>
    <row r="725" spans="1:7" x14ac:dyDescent="0.25">
      <c r="A725" s="11" t="s">
        <v>986</v>
      </c>
      <c r="B725" s="11" t="s">
        <v>6013</v>
      </c>
      <c r="C725" s="540">
        <v>2986</v>
      </c>
      <c r="D725" s="540">
        <v>2462813.4027225701</v>
      </c>
      <c r="E725" s="541">
        <v>197.111437195359</v>
      </c>
      <c r="F725" s="542">
        <v>99.992099202380601</v>
      </c>
      <c r="G725" s="543">
        <v>8.0028744198240506E-3</v>
      </c>
    </row>
    <row r="726" spans="1:7" x14ac:dyDescent="0.25">
      <c r="A726" s="6" t="s">
        <v>984</v>
      </c>
      <c r="B726" s="6" t="s">
        <v>6012</v>
      </c>
      <c r="C726" s="536">
        <v>1</v>
      </c>
      <c r="D726" s="536">
        <v>194.59727742908899</v>
      </c>
      <c r="E726" s="537">
        <v>197.111437190255</v>
      </c>
      <c r="F726" s="538">
        <v>7.9007976193779701E-3</v>
      </c>
      <c r="G726" s="539">
        <v>8.0028744198254696E-3</v>
      </c>
    </row>
    <row r="727" spans="1:7" x14ac:dyDescent="0.25">
      <c r="A727" s="11" t="s">
        <v>6293</v>
      </c>
      <c r="B727" s="11" t="s">
        <v>6294</v>
      </c>
      <c r="C727" s="540">
        <v>2987</v>
      </c>
      <c r="D727" s="540">
        <v>2463008</v>
      </c>
      <c r="E727" s="541">
        <v>4.6664478970944703E-8</v>
      </c>
      <c r="F727" s="542">
        <v>100</v>
      </c>
      <c r="G727" s="543">
        <v>2.71947991102104E-14</v>
      </c>
    </row>
    <row r="728" spans="1:7" x14ac:dyDescent="0.25">
      <c r="A728" s="6" t="s">
        <v>6293</v>
      </c>
      <c r="B728" s="6" t="s">
        <v>6295</v>
      </c>
      <c r="C728" s="536">
        <v>2987</v>
      </c>
      <c r="D728" s="536">
        <v>2463008</v>
      </c>
      <c r="E728" s="537">
        <v>0</v>
      </c>
      <c r="F728" s="538">
        <v>100</v>
      </c>
      <c r="G728" s="539">
        <v>0</v>
      </c>
    </row>
    <row r="729" spans="1:7" x14ac:dyDescent="0.25">
      <c r="A729" s="3353" t="s">
        <v>799</v>
      </c>
      <c r="B729" s="3354"/>
      <c r="C729" s="3354"/>
      <c r="D729" s="3354"/>
      <c r="E729" s="3354"/>
      <c r="F729" s="3354"/>
      <c r="G729" s="3354"/>
    </row>
    <row r="730" spans="1:7" x14ac:dyDescent="0.25">
      <c r="A730" s="11" t="s">
        <v>984</v>
      </c>
      <c r="B730" s="11" t="s">
        <v>6111</v>
      </c>
      <c r="C730" s="548">
        <v>1733</v>
      </c>
      <c r="D730" s="548">
        <v>2064050.7351423299</v>
      </c>
      <c r="E730" s="549">
        <v>25251.805570661902</v>
      </c>
      <c r="F730" s="550">
        <v>83.802031302469402</v>
      </c>
      <c r="G730" s="551">
        <v>1.0252425315168401</v>
      </c>
    </row>
    <row r="731" spans="1:7" x14ac:dyDescent="0.25">
      <c r="A731" s="6" t="s">
        <v>990</v>
      </c>
      <c r="B731" s="6" t="s">
        <v>6114</v>
      </c>
      <c r="C731" s="544">
        <v>621</v>
      </c>
      <c r="D731" s="544">
        <v>203078.238634954</v>
      </c>
      <c r="E731" s="545">
        <v>20964.187879971101</v>
      </c>
      <c r="F731" s="546">
        <v>8.2451311012775506</v>
      </c>
      <c r="G731" s="547">
        <v>0.85116198891644201</v>
      </c>
    </row>
    <row r="732" spans="1:7" x14ac:dyDescent="0.25">
      <c r="A732" s="11" t="s">
        <v>986</v>
      </c>
      <c r="B732" s="11" t="s">
        <v>6112</v>
      </c>
      <c r="C732" s="548">
        <v>633</v>
      </c>
      <c r="D732" s="548">
        <v>195879.02622271999</v>
      </c>
      <c r="E732" s="549">
        <v>15507.5609793678</v>
      </c>
      <c r="F732" s="550">
        <v>7.95283759625302</v>
      </c>
      <c r="G732" s="551">
        <v>0.62961878237373603</v>
      </c>
    </row>
    <row r="733" spans="1:7" x14ac:dyDescent="0.25">
      <c r="A733" s="6" t="s">
        <v>6293</v>
      </c>
      <c r="B733" s="6" t="s">
        <v>6294</v>
      </c>
      <c r="C733" s="544">
        <v>2987</v>
      </c>
      <c r="D733" s="544">
        <v>2463008</v>
      </c>
      <c r="E733" s="545">
        <v>1.4996483180346701E-8</v>
      </c>
      <c r="F733" s="546">
        <v>100</v>
      </c>
      <c r="G733" s="547">
        <v>1.78031750616652E-14</v>
      </c>
    </row>
    <row r="734" spans="1:7" x14ac:dyDescent="0.25">
      <c r="A734" s="11" t="s">
        <v>6293</v>
      </c>
      <c r="B734" s="11" t="s">
        <v>6295</v>
      </c>
      <c r="C734" s="548">
        <v>2987</v>
      </c>
      <c r="D734" s="548">
        <v>2463008</v>
      </c>
      <c r="E734" s="549">
        <v>0</v>
      </c>
      <c r="F734" s="550">
        <v>100</v>
      </c>
      <c r="G734" s="551">
        <v>0</v>
      </c>
    </row>
    <row r="735" spans="1:7" x14ac:dyDescent="0.25">
      <c r="A735" s="3353" t="s">
        <v>801</v>
      </c>
      <c r="B735" s="3354"/>
      <c r="C735" s="3354"/>
      <c r="D735" s="3354"/>
      <c r="E735" s="3354"/>
      <c r="F735" s="3354"/>
      <c r="G735" s="3354"/>
    </row>
    <row r="736" spans="1:7" x14ac:dyDescent="0.25">
      <c r="A736" s="11" t="s">
        <v>990</v>
      </c>
      <c r="B736" s="11" t="s">
        <v>6118</v>
      </c>
      <c r="C736" s="556">
        <v>654</v>
      </c>
      <c r="D736" s="556">
        <v>1419285.17843765</v>
      </c>
      <c r="E736" s="557">
        <v>28920.372642652899</v>
      </c>
      <c r="F736" s="558">
        <v>57.624058810919401</v>
      </c>
      <c r="G736" s="559">
        <v>1.17418914768654</v>
      </c>
    </row>
    <row r="737" spans="1:7" x14ac:dyDescent="0.25">
      <c r="A737" s="6" t="s">
        <v>994</v>
      </c>
      <c r="B737" s="6" t="s">
        <v>6120</v>
      </c>
      <c r="C737" s="552">
        <v>1254</v>
      </c>
      <c r="D737" s="552">
        <v>398957.26485767402</v>
      </c>
      <c r="E737" s="553">
        <v>25251.8055706618</v>
      </c>
      <c r="F737" s="554">
        <v>16.197968697530602</v>
      </c>
      <c r="G737" s="555">
        <v>1.0252425315168401</v>
      </c>
    </row>
    <row r="738" spans="1:7" x14ac:dyDescent="0.25">
      <c r="A738" s="11" t="s">
        <v>988</v>
      </c>
      <c r="B738" s="11" t="s">
        <v>6117</v>
      </c>
      <c r="C738" s="556">
        <v>190</v>
      </c>
      <c r="D738" s="556">
        <v>388533.15175199299</v>
      </c>
      <c r="E738" s="557">
        <v>21393.722026804498</v>
      </c>
      <c r="F738" s="558">
        <v>15.7747417690886</v>
      </c>
      <c r="G738" s="559">
        <v>0.86860140230173799</v>
      </c>
    </row>
    <row r="739" spans="1:7" x14ac:dyDescent="0.25">
      <c r="A739" s="6" t="s">
        <v>984</v>
      </c>
      <c r="B739" s="6" t="s">
        <v>6115</v>
      </c>
      <c r="C739" s="552">
        <v>864</v>
      </c>
      <c r="D739" s="552">
        <v>205224.305743962</v>
      </c>
      <c r="E739" s="553">
        <v>22292.3657533351</v>
      </c>
      <c r="F739" s="554">
        <v>8.3322630598017398</v>
      </c>
      <c r="G739" s="555">
        <v>0.90508702177724698</v>
      </c>
    </row>
    <row r="740" spans="1:7" x14ac:dyDescent="0.25">
      <c r="A740" s="11" t="s">
        <v>986</v>
      </c>
      <c r="B740" s="11" t="s">
        <v>6116</v>
      </c>
      <c r="C740" s="556">
        <v>24</v>
      </c>
      <c r="D740" s="556">
        <v>50813.501931291597</v>
      </c>
      <c r="E740" s="557">
        <v>20546.254937626902</v>
      </c>
      <c r="F740" s="558">
        <v>2.0630668650402901</v>
      </c>
      <c r="G740" s="559">
        <v>0.83419359326591402</v>
      </c>
    </row>
    <row r="741" spans="1:7" x14ac:dyDescent="0.25">
      <c r="A741" s="6" t="s">
        <v>992</v>
      </c>
      <c r="B741" s="6" t="s">
        <v>6119</v>
      </c>
      <c r="C741" s="552">
        <v>1</v>
      </c>
      <c r="D741" s="552">
        <v>194.59727742908899</v>
      </c>
      <c r="E741" s="553">
        <v>197.111437190255</v>
      </c>
      <c r="F741" s="554">
        <v>7.9007976193779597E-3</v>
      </c>
      <c r="G741" s="555">
        <v>8.0028744198254592E-3</v>
      </c>
    </row>
    <row r="742" spans="1:7" x14ac:dyDescent="0.25">
      <c r="A742" s="11" t="s">
        <v>6293</v>
      </c>
      <c r="B742" s="11" t="s">
        <v>6294</v>
      </c>
      <c r="C742" s="556">
        <v>2987</v>
      </c>
      <c r="D742" s="556">
        <v>2463008</v>
      </c>
      <c r="E742" s="557">
        <v>2.97596755509198E-8</v>
      </c>
      <c r="F742" s="558">
        <v>100</v>
      </c>
      <c r="G742" s="559">
        <v>9.9123883653563901E-14</v>
      </c>
    </row>
    <row r="743" spans="1:7" x14ac:dyDescent="0.25">
      <c r="A743" s="6" t="s">
        <v>6293</v>
      </c>
      <c r="B743" s="6" t="s">
        <v>6295</v>
      </c>
      <c r="C743" s="552">
        <v>2987</v>
      </c>
      <c r="D743" s="552">
        <v>2463008</v>
      </c>
      <c r="E743" s="553">
        <v>0</v>
      </c>
      <c r="F743" s="554">
        <v>100</v>
      </c>
      <c r="G743" s="555">
        <v>0</v>
      </c>
    </row>
    <row r="744" spans="1:7" x14ac:dyDescent="0.25">
      <c r="A744" s="3353" t="s">
        <v>803</v>
      </c>
      <c r="B744" s="3354"/>
      <c r="C744" s="3354"/>
      <c r="D744" s="3354"/>
      <c r="E744" s="3354"/>
      <c r="F744" s="3354"/>
      <c r="G744" s="3354"/>
    </row>
    <row r="745" spans="1:7" x14ac:dyDescent="0.25">
      <c r="A745" s="11" t="s">
        <v>984</v>
      </c>
      <c r="B745" s="11" t="s">
        <v>6121</v>
      </c>
      <c r="C745" s="564">
        <v>2366</v>
      </c>
      <c r="D745" s="564">
        <v>2259929.76136505</v>
      </c>
      <c r="E745" s="565">
        <v>20964.187879967001</v>
      </c>
      <c r="F745" s="566">
        <v>91.754868898722407</v>
      </c>
      <c r="G745" s="567">
        <v>0.85116198891643802</v>
      </c>
    </row>
    <row r="746" spans="1:7" x14ac:dyDescent="0.25">
      <c r="A746" s="6" t="s">
        <v>986</v>
      </c>
      <c r="B746" s="6" t="s">
        <v>6122</v>
      </c>
      <c r="C746" s="560">
        <v>621</v>
      </c>
      <c r="D746" s="560">
        <v>203078.238634954</v>
      </c>
      <c r="E746" s="561">
        <v>20964.187879971101</v>
      </c>
      <c r="F746" s="562">
        <v>8.2451311012775594</v>
      </c>
      <c r="G746" s="563">
        <v>0.85116198891642703</v>
      </c>
    </row>
    <row r="747" spans="1:7" x14ac:dyDescent="0.25">
      <c r="A747" s="11" t="s">
        <v>6293</v>
      </c>
      <c r="B747" s="11" t="s">
        <v>6294</v>
      </c>
      <c r="C747" s="564">
        <v>2987</v>
      </c>
      <c r="D747" s="564">
        <v>2463008</v>
      </c>
      <c r="E747" s="565">
        <v>1.2247106852727999E-8</v>
      </c>
      <c r="F747" s="566">
        <v>100</v>
      </c>
      <c r="G747" s="567">
        <v>2.71947991102104E-14</v>
      </c>
    </row>
    <row r="748" spans="1:7" x14ac:dyDescent="0.25">
      <c r="A748" s="6" t="s">
        <v>6293</v>
      </c>
      <c r="B748" s="6" t="s">
        <v>6295</v>
      </c>
      <c r="C748" s="560">
        <v>2987</v>
      </c>
      <c r="D748" s="560">
        <v>2463008</v>
      </c>
      <c r="E748" s="561">
        <v>0</v>
      </c>
      <c r="F748" s="562">
        <v>100</v>
      </c>
      <c r="G748" s="563">
        <v>0</v>
      </c>
    </row>
    <row r="749" spans="1:7" x14ac:dyDescent="0.25">
      <c r="A749" s="3353" t="s">
        <v>209</v>
      </c>
      <c r="B749" s="3354"/>
      <c r="C749" s="3354"/>
      <c r="D749" s="3354"/>
      <c r="E749" s="3354"/>
      <c r="F749" s="3354"/>
      <c r="G749" s="3354"/>
    </row>
    <row r="750" spans="1:7" x14ac:dyDescent="0.25">
      <c r="A750" s="11" t="s">
        <v>6399</v>
      </c>
      <c r="B750" s="11"/>
      <c r="C750" s="572">
        <v>70</v>
      </c>
      <c r="D750" s="572">
        <v>105534.888041438</v>
      </c>
      <c r="E750" s="573">
        <v>18124.499419579599</v>
      </c>
      <c r="F750" s="574">
        <v>4.28479680299204</v>
      </c>
      <c r="G750" s="575">
        <v>0.73586847544058398</v>
      </c>
    </row>
    <row r="751" spans="1:7" x14ac:dyDescent="0.25">
      <c r="A751" s="6" t="s">
        <v>6400</v>
      </c>
      <c r="B751" s="6"/>
      <c r="C751" s="568">
        <v>100</v>
      </c>
      <c r="D751" s="568">
        <v>102052.851638893</v>
      </c>
      <c r="E751" s="569">
        <v>18364.845177039999</v>
      </c>
      <c r="F751" s="570">
        <v>4.1434234740160303</v>
      </c>
      <c r="G751" s="571">
        <v>0.74562669617963195</v>
      </c>
    </row>
    <row r="752" spans="1:7" x14ac:dyDescent="0.25">
      <c r="A752" s="11" t="s">
        <v>6401</v>
      </c>
      <c r="B752" s="11"/>
      <c r="C752" s="572">
        <v>33</v>
      </c>
      <c r="D752" s="572">
        <v>99264.845834634005</v>
      </c>
      <c r="E752" s="573">
        <v>20766.503422478199</v>
      </c>
      <c r="F752" s="574">
        <v>4.0302283157275198</v>
      </c>
      <c r="G752" s="575">
        <v>0.84313584943606201</v>
      </c>
    </row>
    <row r="753" spans="1:7" x14ac:dyDescent="0.25">
      <c r="A753" s="6" t="s">
        <v>6402</v>
      </c>
      <c r="B753" s="6"/>
      <c r="C753" s="568">
        <v>60</v>
      </c>
      <c r="D753" s="568">
        <v>97087.448023042103</v>
      </c>
      <c r="E753" s="569">
        <v>8830.1830140092698</v>
      </c>
      <c r="F753" s="570">
        <v>3.9418243068249099</v>
      </c>
      <c r="G753" s="571">
        <v>0.35851215318867302</v>
      </c>
    </row>
    <row r="754" spans="1:7" x14ac:dyDescent="0.25">
      <c r="A754" s="11" t="s">
        <v>6403</v>
      </c>
      <c r="B754" s="11"/>
      <c r="C754" s="572">
        <v>118</v>
      </c>
      <c r="D754" s="572">
        <v>91217.369204787799</v>
      </c>
      <c r="E754" s="573">
        <v>17203.382533154301</v>
      </c>
      <c r="F754" s="574">
        <v>3.70349463764583</v>
      </c>
      <c r="G754" s="575">
        <v>0.69847042856354202</v>
      </c>
    </row>
    <row r="755" spans="1:7" x14ac:dyDescent="0.25">
      <c r="A755" s="6" t="s">
        <v>6404</v>
      </c>
      <c r="B755" s="6"/>
      <c r="C755" s="568">
        <v>137</v>
      </c>
      <c r="D755" s="568">
        <v>90403.345719341596</v>
      </c>
      <c r="E755" s="569">
        <v>11774.0607973393</v>
      </c>
      <c r="F755" s="570">
        <v>3.6704446643836199</v>
      </c>
      <c r="G755" s="571">
        <v>0.478035832499906</v>
      </c>
    </row>
    <row r="756" spans="1:7" x14ac:dyDescent="0.25">
      <c r="A756" s="11" t="s">
        <v>6405</v>
      </c>
      <c r="B756" s="11"/>
      <c r="C756" s="572">
        <v>143</v>
      </c>
      <c r="D756" s="572">
        <v>86735.328078580395</v>
      </c>
      <c r="E756" s="573">
        <v>14517.1844273676</v>
      </c>
      <c r="F756" s="574">
        <v>3.52152035554007</v>
      </c>
      <c r="G756" s="575">
        <v>0.58940874034382396</v>
      </c>
    </row>
    <row r="757" spans="1:7" x14ac:dyDescent="0.25">
      <c r="A757" s="6" t="s">
        <v>6406</v>
      </c>
      <c r="B757" s="6"/>
      <c r="C757" s="568">
        <v>79</v>
      </c>
      <c r="D757" s="568">
        <v>74983.148644394707</v>
      </c>
      <c r="E757" s="569">
        <v>15440.394282265201</v>
      </c>
      <c r="F757" s="570">
        <v>3.04437292304348</v>
      </c>
      <c r="G757" s="571">
        <v>0.62689176333431396</v>
      </c>
    </row>
    <row r="758" spans="1:7" x14ac:dyDescent="0.25">
      <c r="A758" s="11" t="s">
        <v>6407</v>
      </c>
      <c r="B758" s="11"/>
      <c r="C758" s="572">
        <v>93</v>
      </c>
      <c r="D758" s="572">
        <v>73161.656258241899</v>
      </c>
      <c r="E758" s="573">
        <v>15061.849846171701</v>
      </c>
      <c r="F758" s="574">
        <v>2.9704189453806902</v>
      </c>
      <c r="G758" s="575">
        <v>0.61152257102582397</v>
      </c>
    </row>
    <row r="759" spans="1:7" x14ac:dyDescent="0.25">
      <c r="A759" s="6" t="s">
        <v>6408</v>
      </c>
      <c r="B759" s="6"/>
      <c r="C759" s="568">
        <v>74</v>
      </c>
      <c r="D759" s="568">
        <v>64260.917893794001</v>
      </c>
      <c r="E759" s="569">
        <v>9496.7407583547993</v>
      </c>
      <c r="F759" s="570">
        <v>2.6090421912472102</v>
      </c>
      <c r="G759" s="571">
        <v>0.385574905089825</v>
      </c>
    </row>
    <row r="760" spans="1:7" x14ac:dyDescent="0.25">
      <c r="A760" s="11" t="s">
        <v>6409</v>
      </c>
      <c r="B760" s="11"/>
      <c r="C760" s="572">
        <v>85</v>
      </c>
      <c r="D760" s="572">
        <v>63789.202831284303</v>
      </c>
      <c r="E760" s="573">
        <v>13564.6839756891</v>
      </c>
      <c r="F760" s="574">
        <v>2.5898902005711801</v>
      </c>
      <c r="G760" s="575">
        <v>0.55073649682376402</v>
      </c>
    </row>
    <row r="761" spans="1:7" x14ac:dyDescent="0.25">
      <c r="A761" s="6" t="s">
        <v>6410</v>
      </c>
      <c r="B761" s="6"/>
      <c r="C761" s="568">
        <v>67</v>
      </c>
      <c r="D761" s="568">
        <v>60581.280693982801</v>
      </c>
      <c r="E761" s="569">
        <v>15382.0441418792</v>
      </c>
      <c r="F761" s="570">
        <v>2.4596461194597299</v>
      </c>
      <c r="G761" s="571">
        <v>0.62452270321002701</v>
      </c>
    </row>
    <row r="762" spans="1:7" x14ac:dyDescent="0.25">
      <c r="A762" s="11" t="s">
        <v>6411</v>
      </c>
      <c r="B762" s="11"/>
      <c r="C762" s="572">
        <v>96</v>
      </c>
      <c r="D762" s="572">
        <v>59587.5130615034</v>
      </c>
      <c r="E762" s="573">
        <v>16780.151864421401</v>
      </c>
      <c r="F762" s="574">
        <v>2.4192983969805799</v>
      </c>
      <c r="G762" s="575">
        <v>0.68128694118823196</v>
      </c>
    </row>
    <row r="763" spans="1:7" x14ac:dyDescent="0.25">
      <c r="A763" s="6" t="s">
        <v>6412</v>
      </c>
      <c r="B763" s="6"/>
      <c r="C763" s="568">
        <v>87</v>
      </c>
      <c r="D763" s="568">
        <v>59025.348371183303</v>
      </c>
      <c r="E763" s="569">
        <v>10944.6760265252</v>
      </c>
      <c r="F763" s="570">
        <v>2.3964740825520399</v>
      </c>
      <c r="G763" s="571">
        <v>0.44436217935650801</v>
      </c>
    </row>
    <row r="764" spans="1:7" x14ac:dyDescent="0.25">
      <c r="A764" s="11" t="s">
        <v>6413</v>
      </c>
      <c r="B764" s="11"/>
      <c r="C764" s="572">
        <v>68</v>
      </c>
      <c r="D764" s="572">
        <v>56669.825163657901</v>
      </c>
      <c r="E764" s="573">
        <v>12678.2160830099</v>
      </c>
      <c r="F764" s="574">
        <v>2.3008380469595702</v>
      </c>
      <c r="G764" s="575">
        <v>0.51474522547266999</v>
      </c>
    </row>
    <row r="765" spans="1:7" x14ac:dyDescent="0.25">
      <c r="A765" s="6" t="s">
        <v>6414</v>
      </c>
      <c r="B765" s="6"/>
      <c r="C765" s="568">
        <v>65</v>
      </c>
      <c r="D765" s="568">
        <v>53452.755468523697</v>
      </c>
      <c r="E765" s="569">
        <v>11330.5888405142</v>
      </c>
      <c r="F765" s="570">
        <v>2.1702225680356602</v>
      </c>
      <c r="G765" s="571">
        <v>0.46003053341744099</v>
      </c>
    </row>
    <row r="766" spans="1:7" x14ac:dyDescent="0.25">
      <c r="A766" s="11" t="s">
        <v>6415</v>
      </c>
      <c r="B766" s="11"/>
      <c r="C766" s="572">
        <v>125</v>
      </c>
      <c r="D766" s="572">
        <v>52152.915877807303</v>
      </c>
      <c r="E766" s="573">
        <v>9995.8796537386406</v>
      </c>
      <c r="F766" s="574">
        <v>2.11744809102558</v>
      </c>
      <c r="G766" s="575">
        <v>0.40584032425954902</v>
      </c>
    </row>
    <row r="767" spans="1:7" x14ac:dyDescent="0.25">
      <c r="A767" s="6" t="s">
        <v>6416</v>
      </c>
      <c r="B767" s="6"/>
      <c r="C767" s="568">
        <v>64</v>
      </c>
      <c r="D767" s="568">
        <v>51253.525169913402</v>
      </c>
      <c r="E767" s="569">
        <v>10066.271665115501</v>
      </c>
      <c r="F767" s="570">
        <v>2.0809321435380399</v>
      </c>
      <c r="G767" s="571">
        <v>0.40869829351408798</v>
      </c>
    </row>
    <row r="768" spans="1:7" x14ac:dyDescent="0.25">
      <c r="A768" s="11" t="s">
        <v>6417</v>
      </c>
      <c r="B768" s="11"/>
      <c r="C768" s="572">
        <v>69</v>
      </c>
      <c r="D768" s="572">
        <v>49281.753125590498</v>
      </c>
      <c r="E768" s="573">
        <v>7807.1373816823998</v>
      </c>
      <c r="F768" s="574">
        <v>2.0008766973387999</v>
      </c>
      <c r="G768" s="575">
        <v>0.31697572162503701</v>
      </c>
    </row>
    <row r="769" spans="1:7" x14ac:dyDescent="0.25">
      <c r="A769" s="6" t="s">
        <v>6418</v>
      </c>
      <c r="B769" s="6"/>
      <c r="C769" s="568">
        <v>65</v>
      </c>
      <c r="D769" s="568">
        <v>47946.905496334701</v>
      </c>
      <c r="E769" s="569">
        <v>11785.6211577659</v>
      </c>
      <c r="F769" s="570">
        <v>1.94668086731081</v>
      </c>
      <c r="G769" s="571">
        <v>0.47850519193465302</v>
      </c>
    </row>
    <row r="770" spans="1:7" x14ac:dyDescent="0.25">
      <c r="A770" s="11" t="s">
        <v>6419</v>
      </c>
      <c r="B770" s="11"/>
      <c r="C770" s="572">
        <v>64</v>
      </c>
      <c r="D770" s="572">
        <v>47159.827133476603</v>
      </c>
      <c r="E770" s="573">
        <v>10938.153992695599</v>
      </c>
      <c r="F770" s="574">
        <v>1.91472488654022</v>
      </c>
      <c r="G770" s="575">
        <v>0.44409737981750602</v>
      </c>
    </row>
    <row r="771" spans="1:7" x14ac:dyDescent="0.25">
      <c r="A771" s="6" t="s">
        <v>6420</v>
      </c>
      <c r="B771" s="6"/>
      <c r="C771" s="568">
        <v>65</v>
      </c>
      <c r="D771" s="568">
        <v>46839.944132987301</v>
      </c>
      <c r="E771" s="569">
        <v>11735.111850879401</v>
      </c>
      <c r="F771" s="570">
        <v>1.9017373931788799</v>
      </c>
      <c r="G771" s="571">
        <v>0.47645447562003201</v>
      </c>
    </row>
    <row r="772" spans="1:7" x14ac:dyDescent="0.25">
      <c r="A772" s="11" t="s">
        <v>6421</v>
      </c>
      <c r="B772" s="11"/>
      <c r="C772" s="572">
        <v>69</v>
      </c>
      <c r="D772" s="572">
        <v>46572.397160499102</v>
      </c>
      <c r="E772" s="573">
        <v>14003.826688200799</v>
      </c>
      <c r="F772" s="574">
        <v>1.8908747824001799</v>
      </c>
      <c r="G772" s="575">
        <v>0.56856602529105704</v>
      </c>
    </row>
    <row r="773" spans="1:7" x14ac:dyDescent="0.25">
      <c r="A773" s="6" t="s">
        <v>6422</v>
      </c>
      <c r="B773" s="6"/>
      <c r="C773" s="568">
        <v>92</v>
      </c>
      <c r="D773" s="568">
        <v>45976.283988710697</v>
      </c>
      <c r="E773" s="569">
        <v>9726.7352754944604</v>
      </c>
      <c r="F773" s="570">
        <v>1.8666721337775101</v>
      </c>
      <c r="G773" s="571">
        <v>0.39491285759098099</v>
      </c>
    </row>
    <row r="774" spans="1:7" x14ac:dyDescent="0.25">
      <c r="A774" s="11" t="s">
        <v>6423</v>
      </c>
      <c r="B774" s="11"/>
      <c r="C774" s="572">
        <v>45</v>
      </c>
      <c r="D774" s="572">
        <v>43223.062372805703</v>
      </c>
      <c r="E774" s="573">
        <v>10993.026632004499</v>
      </c>
      <c r="F774" s="574">
        <v>1.75488924001894</v>
      </c>
      <c r="G774" s="575">
        <v>0.44632525075048701</v>
      </c>
    </row>
    <row r="775" spans="1:7" x14ac:dyDescent="0.25">
      <c r="A775" s="6" t="s">
        <v>6424</v>
      </c>
      <c r="B775" s="6"/>
      <c r="C775" s="568">
        <v>25</v>
      </c>
      <c r="D775" s="568">
        <v>42803.02977465</v>
      </c>
      <c r="E775" s="569">
        <v>8611.8164205515604</v>
      </c>
      <c r="F775" s="570">
        <v>1.7378355967439001</v>
      </c>
      <c r="G775" s="571">
        <v>0.34964630324187201</v>
      </c>
    </row>
    <row r="776" spans="1:7" x14ac:dyDescent="0.25">
      <c r="A776" s="11" t="s">
        <v>6425</v>
      </c>
      <c r="B776" s="11"/>
      <c r="C776" s="572">
        <v>68</v>
      </c>
      <c r="D776" s="572">
        <v>42708.011269264898</v>
      </c>
      <c r="E776" s="573">
        <v>8934.4276569478898</v>
      </c>
      <c r="F776" s="574">
        <v>1.7339777730833601</v>
      </c>
      <c r="G776" s="575">
        <v>0.36274456505816799</v>
      </c>
    </row>
    <row r="777" spans="1:7" x14ac:dyDescent="0.25">
      <c r="A777" s="6" t="s">
        <v>6426</v>
      </c>
      <c r="B777" s="6"/>
      <c r="C777" s="568">
        <v>78</v>
      </c>
      <c r="D777" s="568">
        <v>41498.589790552098</v>
      </c>
      <c r="E777" s="569">
        <v>9729.5287800601509</v>
      </c>
      <c r="F777" s="570">
        <v>1.6848743402600399</v>
      </c>
      <c r="G777" s="571">
        <v>0.39502627600316997</v>
      </c>
    </row>
    <row r="778" spans="1:7" x14ac:dyDescent="0.25">
      <c r="A778" s="11" t="s">
        <v>6427</v>
      </c>
      <c r="B778" s="11"/>
      <c r="C778" s="572">
        <v>45</v>
      </c>
      <c r="D778" s="572">
        <v>41352.320037021302</v>
      </c>
      <c r="E778" s="573">
        <v>11718.390771550799</v>
      </c>
      <c r="F778" s="574">
        <v>1.67893567690488</v>
      </c>
      <c r="G778" s="575">
        <v>0.47577558706877199</v>
      </c>
    </row>
    <row r="779" spans="1:7" x14ac:dyDescent="0.25">
      <c r="A779" s="6" t="s">
        <v>6428</v>
      </c>
      <c r="B779" s="6"/>
      <c r="C779" s="568">
        <v>25</v>
      </c>
      <c r="D779" s="568">
        <v>40248.564557760197</v>
      </c>
      <c r="E779" s="569">
        <v>10315.1359836019</v>
      </c>
      <c r="F779" s="570">
        <v>1.6341223641076399</v>
      </c>
      <c r="G779" s="571">
        <v>0.41880237431636003</v>
      </c>
    </row>
    <row r="780" spans="1:7" x14ac:dyDescent="0.25">
      <c r="A780" s="11" t="s">
        <v>6429</v>
      </c>
      <c r="B780" s="11"/>
      <c r="C780" s="572">
        <v>57</v>
      </c>
      <c r="D780" s="572">
        <v>39041.893961753602</v>
      </c>
      <c r="E780" s="573">
        <v>7633.9921576446704</v>
      </c>
      <c r="F780" s="574">
        <v>1.5851306192165699</v>
      </c>
      <c r="G780" s="575">
        <v>0.30994589370577302</v>
      </c>
    </row>
    <row r="781" spans="1:7" x14ac:dyDescent="0.25">
      <c r="A781" s="6" t="s">
        <v>6430</v>
      </c>
      <c r="B781" s="6"/>
      <c r="C781" s="568">
        <v>12</v>
      </c>
      <c r="D781" s="568">
        <v>38738.236699311899</v>
      </c>
      <c r="E781" s="569">
        <v>15895.6327388305</v>
      </c>
      <c r="F781" s="570">
        <v>1.57280190317335</v>
      </c>
      <c r="G781" s="571">
        <v>0.64537479126460395</v>
      </c>
    </row>
    <row r="782" spans="1:7" x14ac:dyDescent="0.25">
      <c r="A782" s="11" t="s">
        <v>6431</v>
      </c>
      <c r="B782" s="11"/>
      <c r="C782" s="572">
        <v>62</v>
      </c>
      <c r="D782" s="572">
        <v>38522.776875176802</v>
      </c>
      <c r="E782" s="573">
        <v>11266.2132386501</v>
      </c>
      <c r="F782" s="574">
        <v>1.5640540702740999</v>
      </c>
      <c r="G782" s="575">
        <v>0.45741683496968499</v>
      </c>
    </row>
    <row r="783" spans="1:7" x14ac:dyDescent="0.25">
      <c r="A783" s="6" t="s">
        <v>6432</v>
      </c>
      <c r="B783" s="6"/>
      <c r="C783" s="568">
        <v>28</v>
      </c>
      <c r="D783" s="568">
        <v>37150.600094185997</v>
      </c>
      <c r="E783" s="569">
        <v>8833.7770133405593</v>
      </c>
      <c r="F783" s="570">
        <v>1.50834264826529</v>
      </c>
      <c r="G783" s="571">
        <v>0.358658072297799</v>
      </c>
    </row>
    <row r="784" spans="1:7" x14ac:dyDescent="0.25">
      <c r="A784" s="11" t="s">
        <v>6433</v>
      </c>
      <c r="B784" s="11"/>
      <c r="C784" s="572">
        <v>51</v>
      </c>
      <c r="D784" s="572">
        <v>36327.763926708503</v>
      </c>
      <c r="E784" s="573">
        <v>12877.7031048144</v>
      </c>
      <c r="F784" s="574">
        <v>1.47493487340311</v>
      </c>
      <c r="G784" s="575">
        <v>0.52284455043647604</v>
      </c>
    </row>
    <row r="785" spans="1:7" x14ac:dyDescent="0.25">
      <c r="A785" s="6" t="s">
        <v>6434</v>
      </c>
      <c r="B785" s="6"/>
      <c r="C785" s="568">
        <v>44</v>
      </c>
      <c r="D785" s="568">
        <v>36102.398595485698</v>
      </c>
      <c r="E785" s="569">
        <v>9009.3930857115702</v>
      </c>
      <c r="F785" s="570">
        <v>1.4657848693745901</v>
      </c>
      <c r="G785" s="571">
        <v>0.36578821854056398</v>
      </c>
    </row>
    <row r="786" spans="1:7" x14ac:dyDescent="0.25">
      <c r="A786" s="11" t="s">
        <v>6435</v>
      </c>
      <c r="B786" s="11"/>
      <c r="C786" s="572">
        <v>41</v>
      </c>
      <c r="D786" s="572">
        <v>36071.690676643499</v>
      </c>
      <c r="E786" s="573">
        <v>10464.3838011151</v>
      </c>
      <c r="F786" s="574">
        <v>1.4645381044902599</v>
      </c>
      <c r="G786" s="575">
        <v>0.42486194933654797</v>
      </c>
    </row>
    <row r="787" spans="1:7" x14ac:dyDescent="0.25">
      <c r="A787" s="6" t="s">
        <v>6436</v>
      </c>
      <c r="B787" s="6"/>
      <c r="C787" s="568">
        <v>25</v>
      </c>
      <c r="D787" s="568">
        <v>35697.841147759202</v>
      </c>
      <c r="E787" s="569">
        <v>13877.3395829806</v>
      </c>
      <c r="F787" s="570">
        <v>1.4493595289889101</v>
      </c>
      <c r="G787" s="571">
        <v>0.56343055251873198</v>
      </c>
    </row>
    <row r="788" spans="1:7" x14ac:dyDescent="0.25">
      <c r="A788" s="11" t="s">
        <v>6437</v>
      </c>
      <c r="B788" s="11"/>
      <c r="C788" s="572">
        <v>33</v>
      </c>
      <c r="D788" s="572">
        <v>35279.762207858701</v>
      </c>
      <c r="E788" s="573">
        <v>10264.172801761801</v>
      </c>
      <c r="F788" s="574">
        <v>1.4323852057264399</v>
      </c>
      <c r="G788" s="575">
        <v>0.41673323033306398</v>
      </c>
    </row>
    <row r="789" spans="1:7" x14ac:dyDescent="0.25">
      <c r="A789" s="6" t="s">
        <v>6438</v>
      </c>
      <c r="B789" s="6"/>
      <c r="C789" s="568">
        <v>31</v>
      </c>
      <c r="D789" s="568">
        <v>34702.198007019499</v>
      </c>
      <c r="E789" s="569">
        <v>15977.188356241601</v>
      </c>
      <c r="F789" s="570">
        <v>1.4089356594464799</v>
      </c>
      <c r="G789" s="571">
        <v>0.64868601142349402</v>
      </c>
    </row>
    <row r="790" spans="1:7" x14ac:dyDescent="0.25">
      <c r="A790" s="11" t="s">
        <v>6439</v>
      </c>
      <c r="B790" s="11"/>
      <c r="C790" s="572">
        <v>44</v>
      </c>
      <c r="D790" s="572">
        <v>33793.588406088697</v>
      </c>
      <c r="E790" s="573">
        <v>7960.8847327530902</v>
      </c>
      <c r="F790" s="574">
        <v>1.37204541788288</v>
      </c>
      <c r="G790" s="575">
        <v>0.32321798113335798</v>
      </c>
    </row>
    <row r="791" spans="1:7" x14ac:dyDescent="0.25">
      <c r="A791" s="6" t="s">
        <v>6440</v>
      </c>
      <c r="B791" s="6"/>
      <c r="C791" s="568">
        <v>62</v>
      </c>
      <c r="D791" s="568">
        <v>32026.9942737852</v>
      </c>
      <c r="E791" s="569">
        <v>6882.3750307126502</v>
      </c>
      <c r="F791" s="570">
        <v>1.3003203511229</v>
      </c>
      <c r="G791" s="571">
        <v>0.27942966611203301</v>
      </c>
    </row>
    <row r="792" spans="1:7" x14ac:dyDescent="0.25">
      <c r="A792" s="11" t="s">
        <v>6441</v>
      </c>
      <c r="B792" s="11"/>
      <c r="C792" s="572">
        <v>21</v>
      </c>
      <c r="D792" s="572">
        <v>29304.646202906599</v>
      </c>
      <c r="E792" s="573">
        <v>9643.1543746620591</v>
      </c>
      <c r="F792" s="574">
        <v>1.18979094679784</v>
      </c>
      <c r="G792" s="575">
        <v>0.39151940938324498</v>
      </c>
    </row>
    <row r="793" spans="1:7" x14ac:dyDescent="0.25">
      <c r="A793" s="6" t="s">
        <v>6442</v>
      </c>
      <c r="B793" s="6"/>
      <c r="C793" s="568">
        <v>47</v>
      </c>
      <c r="D793" s="568">
        <v>26133.4820631326</v>
      </c>
      <c r="E793" s="569">
        <v>10737.9975639289</v>
      </c>
      <c r="F793" s="570">
        <v>1.0610392683715399</v>
      </c>
      <c r="G793" s="571">
        <v>0.43597087642138899</v>
      </c>
    </row>
    <row r="794" spans="1:7" x14ac:dyDescent="0.25">
      <c r="A794" s="11" t="s">
        <v>6443</v>
      </c>
      <c r="B794" s="11"/>
      <c r="C794" s="572">
        <v>25</v>
      </c>
      <c r="D794" s="572">
        <v>25649.7307081996</v>
      </c>
      <c r="E794" s="573">
        <v>10076.2635399266</v>
      </c>
      <c r="F794" s="574">
        <v>1.0413985950593601</v>
      </c>
      <c r="G794" s="575">
        <v>0.40910397123868902</v>
      </c>
    </row>
    <row r="795" spans="1:7" x14ac:dyDescent="0.25">
      <c r="A795" s="6" t="s">
        <v>6444</v>
      </c>
      <c r="B795" s="6"/>
      <c r="C795" s="568">
        <v>32</v>
      </c>
      <c r="D795" s="568">
        <v>24210.977466773798</v>
      </c>
      <c r="E795" s="569">
        <v>8460.8970191389999</v>
      </c>
      <c r="F795" s="570">
        <v>0.98298411806919905</v>
      </c>
      <c r="G795" s="571">
        <v>0.34351886064271803</v>
      </c>
    </row>
    <row r="796" spans="1:7" x14ac:dyDescent="0.25">
      <c r="A796" s="11" t="s">
        <v>6445</v>
      </c>
      <c r="B796" s="11"/>
      <c r="C796" s="572">
        <v>33</v>
      </c>
      <c r="D796" s="572">
        <v>19907.3381290533</v>
      </c>
      <c r="E796" s="573">
        <v>5785.4668119751695</v>
      </c>
      <c r="F796" s="574">
        <v>0.80825308440140298</v>
      </c>
      <c r="G796" s="575">
        <v>0.23489435730517999</v>
      </c>
    </row>
    <row r="797" spans="1:7" x14ac:dyDescent="0.25">
      <c r="A797" s="6" t="s">
        <v>6446</v>
      </c>
      <c r="B797" s="6"/>
      <c r="C797" s="568">
        <v>49</v>
      </c>
      <c r="D797" s="568">
        <v>19485.644509621699</v>
      </c>
      <c r="E797" s="569">
        <v>5879.1505483423598</v>
      </c>
      <c r="F797" s="570">
        <v>0.79113200239794801</v>
      </c>
      <c r="G797" s="571">
        <v>0.23869798832737699</v>
      </c>
    </row>
    <row r="798" spans="1:7" x14ac:dyDescent="0.25">
      <c r="A798" s="11" t="s">
        <v>6447</v>
      </c>
      <c r="B798" s="11"/>
      <c r="C798" s="572">
        <v>1</v>
      </c>
      <c r="D798" s="572">
        <v>4649.3568074492096</v>
      </c>
      <c r="E798" s="573">
        <v>4782.68195574735</v>
      </c>
      <c r="F798" s="574">
        <v>0.18876742614921299</v>
      </c>
      <c r="G798" s="575">
        <v>0.194180528676616</v>
      </c>
    </row>
    <row r="799" spans="1:7" x14ac:dyDescent="0.25">
      <c r="A799" s="6" t="s">
        <v>6448</v>
      </c>
      <c r="B799" s="6"/>
      <c r="C799" s="568">
        <v>1</v>
      </c>
      <c r="D799" s="568">
        <v>2153.4316136642701</v>
      </c>
      <c r="E799" s="569">
        <v>2447.4955707003301</v>
      </c>
      <c r="F799" s="570">
        <v>8.7430963020187893E-2</v>
      </c>
      <c r="G799" s="571">
        <v>9.9370183560115399E-2</v>
      </c>
    </row>
    <row r="800" spans="1:7" x14ac:dyDescent="0.25">
      <c r="A800" s="11" t="s">
        <v>6449</v>
      </c>
      <c r="B800" s="11"/>
      <c r="C800" s="572">
        <v>1</v>
      </c>
      <c r="D800" s="572">
        <v>336.30120704546601</v>
      </c>
      <c r="E800" s="573">
        <v>344.98890756827598</v>
      </c>
      <c r="F800" s="574">
        <v>1.3654085047448699E-2</v>
      </c>
      <c r="G800" s="575">
        <v>1.40068123030163E-2</v>
      </c>
    </row>
    <row r="801" spans="1:7" x14ac:dyDescent="0.25">
      <c r="A801" s="6" t="s">
        <v>6450</v>
      </c>
      <c r="B801" s="6"/>
      <c r="C801" s="568">
        <v>1</v>
      </c>
      <c r="D801" s="568">
        <v>243.39472597127201</v>
      </c>
      <c r="E801" s="569">
        <v>247.839008881486</v>
      </c>
      <c r="F801" s="570">
        <v>9.8820111819073204E-3</v>
      </c>
      <c r="G801" s="571">
        <v>1.00624524516967E-2</v>
      </c>
    </row>
    <row r="802" spans="1:7" x14ac:dyDescent="0.25">
      <c r="A802" s="11" t="s">
        <v>6451</v>
      </c>
      <c r="B802" s="11"/>
      <c r="C802" s="572">
        <v>1</v>
      </c>
      <c r="D802" s="572">
        <v>194.59727742908899</v>
      </c>
      <c r="E802" s="573">
        <v>197.111437190255</v>
      </c>
      <c r="F802" s="574">
        <v>7.9007976193779701E-3</v>
      </c>
      <c r="G802" s="575">
        <v>8.0028744198254592E-3</v>
      </c>
    </row>
    <row r="803" spans="1:7" x14ac:dyDescent="0.25">
      <c r="A803" s="6" t="s">
        <v>6452</v>
      </c>
      <c r="B803" s="6"/>
      <c r="C803" s="568">
        <v>1</v>
      </c>
      <c r="D803" s="568">
        <v>158.036701308218</v>
      </c>
      <c r="E803" s="569">
        <v>158.49481785624701</v>
      </c>
      <c r="F803" s="570">
        <v>6.4164103936413504E-3</v>
      </c>
      <c r="G803" s="571">
        <v>6.4350102742763097E-3</v>
      </c>
    </row>
    <row r="804" spans="1:7" x14ac:dyDescent="0.25">
      <c r="A804" s="11" t="s">
        <v>6453</v>
      </c>
      <c r="B804" s="11"/>
      <c r="C804" s="572">
        <v>1</v>
      </c>
      <c r="D804" s="572">
        <v>133.24087940269601</v>
      </c>
      <c r="E804" s="573">
        <v>139.435991770058</v>
      </c>
      <c r="F804" s="574">
        <v>5.4096811460903104E-3</v>
      </c>
      <c r="G804" s="575">
        <v>5.6612074248259996E-3</v>
      </c>
    </row>
    <row r="805" spans="1:7" x14ac:dyDescent="0.25">
      <c r="A805" s="6" t="s">
        <v>6454</v>
      </c>
      <c r="B805" s="6"/>
      <c r="C805" s="568">
        <v>1</v>
      </c>
      <c r="D805" s="568">
        <v>126.897955880312</v>
      </c>
      <c r="E805" s="569">
        <v>127.248245762485</v>
      </c>
      <c r="F805" s="570">
        <v>5.1521536219253797E-3</v>
      </c>
      <c r="G805" s="571">
        <v>5.1663756578332401E-3</v>
      </c>
    </row>
    <row r="806" spans="1:7" x14ac:dyDescent="0.25">
      <c r="A806" s="11" t="s">
        <v>6455</v>
      </c>
      <c r="B806" s="11"/>
      <c r="C806" s="572">
        <v>1</v>
      </c>
      <c r="D806" s="572">
        <v>40.324065728696503</v>
      </c>
      <c r="E806" s="573">
        <v>41.044040815438102</v>
      </c>
      <c r="F806" s="574">
        <v>1.6371877691301201E-3</v>
      </c>
      <c r="G806" s="575">
        <v>1.6664193058016101E-3</v>
      </c>
    </row>
    <row r="807" spans="1:7" x14ac:dyDescent="0.25">
      <c r="A807" s="6" t="s">
        <v>6293</v>
      </c>
      <c r="B807" s="6" t="s">
        <v>6294</v>
      </c>
      <c r="C807" s="568">
        <v>2980</v>
      </c>
      <c r="D807" s="568">
        <v>2463008</v>
      </c>
      <c r="E807" s="569">
        <v>1.6142498191285599E-8</v>
      </c>
      <c r="F807" s="570">
        <v>100</v>
      </c>
      <c r="G807" s="571">
        <v>1.00184062299098E-13</v>
      </c>
    </row>
    <row r="808" spans="1:7" x14ac:dyDescent="0.25">
      <c r="A808" s="11" t="s">
        <v>6293</v>
      </c>
      <c r="B808" s="11" t="s">
        <v>6295</v>
      </c>
      <c r="C808" s="572">
        <v>2980</v>
      </c>
      <c r="D808" s="572">
        <v>2463008</v>
      </c>
      <c r="E808" s="573">
        <v>0</v>
      </c>
      <c r="F808" s="574">
        <v>100</v>
      </c>
      <c r="G808" s="575">
        <v>0</v>
      </c>
    </row>
    <row r="809" spans="1:7" x14ac:dyDescent="0.25">
      <c r="A809" s="3353" t="s">
        <v>349</v>
      </c>
      <c r="B809" s="3354"/>
      <c r="C809" s="3354"/>
      <c r="D809" s="3354"/>
      <c r="E809" s="3354"/>
      <c r="F809" s="3354"/>
      <c r="G809" s="3354"/>
    </row>
    <row r="810" spans="1:7" x14ac:dyDescent="0.25">
      <c r="A810" s="11" t="s">
        <v>982</v>
      </c>
      <c r="B810" s="11" t="s">
        <v>983</v>
      </c>
      <c r="C810" s="580">
        <v>811</v>
      </c>
      <c r="D810" s="580">
        <v>845709.64499526005</v>
      </c>
      <c r="E810" s="581">
        <v>40176.830093198703</v>
      </c>
      <c r="F810" s="582">
        <v>96.026427017170704</v>
      </c>
      <c r="G810" s="583">
        <v>1.43921205249978</v>
      </c>
    </row>
    <row r="811" spans="1:7" x14ac:dyDescent="0.25">
      <c r="A811" s="6" t="s">
        <v>996</v>
      </c>
      <c r="B811" s="6" t="s">
        <v>997</v>
      </c>
      <c r="C811" s="576">
        <v>21</v>
      </c>
      <c r="D811" s="576">
        <v>34995.460115062</v>
      </c>
      <c r="E811" s="577">
        <v>12721.7309153102</v>
      </c>
      <c r="F811" s="578">
        <v>3.9735729828292801</v>
      </c>
      <c r="G811" s="579">
        <v>1.43921205249977</v>
      </c>
    </row>
    <row r="812" spans="1:7" x14ac:dyDescent="0.25">
      <c r="A812" s="11" t="s">
        <v>6293</v>
      </c>
      <c r="B812" s="11" t="s">
        <v>6294</v>
      </c>
      <c r="C812" s="580">
        <v>1761</v>
      </c>
      <c r="D812" s="580">
        <v>1582302.89488968</v>
      </c>
      <c r="E812" s="581">
        <v>39195.798107075301</v>
      </c>
      <c r="F812" s="582">
        <v>64.242702211672807</v>
      </c>
      <c r="G812" s="583">
        <v>1.5913792446908701</v>
      </c>
    </row>
    <row r="813" spans="1:7" x14ac:dyDescent="0.25">
      <c r="A813" s="6" t="s">
        <v>6293</v>
      </c>
      <c r="B813" s="6" t="s">
        <v>6295</v>
      </c>
      <c r="C813" s="576">
        <v>2593</v>
      </c>
      <c r="D813" s="576">
        <v>2463008</v>
      </c>
      <c r="E813" s="577">
        <v>0</v>
      </c>
      <c r="F813" s="578">
        <v>100</v>
      </c>
      <c r="G813" s="579">
        <v>0</v>
      </c>
    </row>
    <row r="814" spans="1:7" x14ac:dyDescent="0.25">
      <c r="A814" s="3353" t="s">
        <v>613</v>
      </c>
      <c r="B814" s="3354"/>
      <c r="C814" s="3354"/>
      <c r="D814" s="3354"/>
      <c r="E814" s="3354"/>
      <c r="F814" s="3354"/>
      <c r="G814" s="3354"/>
    </row>
    <row r="815" spans="1:7" x14ac:dyDescent="0.25">
      <c r="A815" s="11" t="s">
        <v>984</v>
      </c>
      <c r="B815" s="11"/>
      <c r="C815" s="588">
        <v>2987</v>
      </c>
      <c r="D815" s="588">
        <v>2463008</v>
      </c>
      <c r="E815" s="589">
        <v>4.30277076979038E-8</v>
      </c>
      <c r="F815" s="590">
        <v>100</v>
      </c>
      <c r="G815" s="591">
        <v>0</v>
      </c>
    </row>
    <row r="816" spans="1:7" x14ac:dyDescent="0.25">
      <c r="A816" s="6" t="s">
        <v>6293</v>
      </c>
      <c r="B816" s="6" t="s">
        <v>6294</v>
      </c>
      <c r="C816" s="584">
        <v>2987</v>
      </c>
      <c r="D816" s="584">
        <v>2463008</v>
      </c>
      <c r="E816" s="585">
        <v>4.30277076979038E-8</v>
      </c>
      <c r="F816" s="586">
        <v>100</v>
      </c>
      <c r="G816" s="587">
        <v>0</v>
      </c>
    </row>
    <row r="817" spans="1:7" x14ac:dyDescent="0.25">
      <c r="A817" s="11" t="s">
        <v>6293</v>
      </c>
      <c r="B817" s="11" t="s">
        <v>6295</v>
      </c>
      <c r="C817" s="588">
        <v>2987</v>
      </c>
      <c r="D817" s="588">
        <v>2463008</v>
      </c>
      <c r="E817" s="589">
        <v>0</v>
      </c>
      <c r="F817" s="590">
        <v>100</v>
      </c>
      <c r="G817" s="591">
        <v>0</v>
      </c>
    </row>
    <row r="818" spans="1:7" x14ac:dyDescent="0.25">
      <c r="A818" s="3353" t="s">
        <v>98</v>
      </c>
      <c r="B818" s="3354"/>
      <c r="C818" s="3354"/>
      <c r="D818" s="3354"/>
      <c r="E818" s="3354"/>
      <c r="F818" s="3354"/>
      <c r="G818" s="3354"/>
    </row>
    <row r="819" spans="1:7" x14ac:dyDescent="0.25">
      <c r="A819" s="11" t="s">
        <v>1013</v>
      </c>
      <c r="B819" s="11" t="s">
        <v>1140</v>
      </c>
      <c r="C819" s="596">
        <v>2987</v>
      </c>
      <c r="D819" s="596">
        <v>2463008</v>
      </c>
      <c r="E819" s="597">
        <v>4.30277076979038E-8</v>
      </c>
      <c r="F819" s="598">
        <v>100</v>
      </c>
      <c r="G819" s="599">
        <v>0</v>
      </c>
    </row>
    <row r="820" spans="1:7" x14ac:dyDescent="0.25">
      <c r="A820" s="6" t="s">
        <v>6293</v>
      </c>
      <c r="B820" s="6" t="s">
        <v>6294</v>
      </c>
      <c r="C820" s="592">
        <v>2987</v>
      </c>
      <c r="D820" s="592">
        <v>2463008</v>
      </c>
      <c r="E820" s="593">
        <v>4.30277076979038E-8</v>
      </c>
      <c r="F820" s="594">
        <v>100</v>
      </c>
      <c r="G820" s="595">
        <v>0</v>
      </c>
    </row>
    <row r="821" spans="1:7" x14ac:dyDescent="0.25">
      <c r="A821" s="11" t="s">
        <v>6293</v>
      </c>
      <c r="B821" s="11" t="s">
        <v>6295</v>
      </c>
      <c r="C821" s="596">
        <v>2987</v>
      </c>
      <c r="D821" s="596">
        <v>2463008</v>
      </c>
      <c r="E821" s="597">
        <v>0</v>
      </c>
      <c r="F821" s="598">
        <v>100</v>
      </c>
      <c r="G821" s="599">
        <v>0</v>
      </c>
    </row>
    <row r="822" spans="1:7" x14ac:dyDescent="0.25">
      <c r="A822" s="3353" t="s">
        <v>100</v>
      </c>
      <c r="B822" s="3354"/>
      <c r="C822" s="3354"/>
      <c r="D822" s="3354"/>
      <c r="E822" s="3354"/>
      <c r="F822" s="3354"/>
      <c r="G822" s="3354"/>
    </row>
    <row r="823" spans="1:7" x14ac:dyDescent="0.25">
      <c r="A823" s="11" t="s">
        <v>990</v>
      </c>
      <c r="B823" s="11" t="s">
        <v>1145</v>
      </c>
      <c r="C823" s="604">
        <v>2987</v>
      </c>
      <c r="D823" s="604">
        <v>2463008</v>
      </c>
      <c r="E823" s="605">
        <v>4.30277076979038E-8</v>
      </c>
      <c r="F823" s="606">
        <v>100</v>
      </c>
      <c r="G823" s="607">
        <v>0</v>
      </c>
    </row>
    <row r="824" spans="1:7" x14ac:dyDescent="0.25">
      <c r="A824" s="6" t="s">
        <v>6293</v>
      </c>
      <c r="B824" s="6" t="s">
        <v>6294</v>
      </c>
      <c r="C824" s="600">
        <v>2987</v>
      </c>
      <c r="D824" s="600">
        <v>2463008</v>
      </c>
      <c r="E824" s="601">
        <v>4.30277076979038E-8</v>
      </c>
      <c r="F824" s="602">
        <v>100</v>
      </c>
      <c r="G824" s="603">
        <v>0</v>
      </c>
    </row>
    <row r="825" spans="1:7" x14ac:dyDescent="0.25">
      <c r="A825" s="11" t="s">
        <v>6293</v>
      </c>
      <c r="B825" s="11" t="s">
        <v>6295</v>
      </c>
      <c r="C825" s="604">
        <v>2987</v>
      </c>
      <c r="D825" s="604">
        <v>2463008</v>
      </c>
      <c r="E825" s="605">
        <v>0</v>
      </c>
      <c r="F825" s="606">
        <v>100</v>
      </c>
      <c r="G825" s="607">
        <v>0</v>
      </c>
    </row>
    <row r="826" spans="1:7" x14ac:dyDescent="0.25">
      <c r="A826" s="3353" t="s">
        <v>96</v>
      </c>
      <c r="B826" s="3354"/>
      <c r="C826" s="3354"/>
      <c r="D826" s="3354"/>
      <c r="E826" s="3354"/>
      <c r="F826" s="3354"/>
      <c r="G826" s="3354"/>
    </row>
    <row r="827" spans="1:7" x14ac:dyDescent="0.25">
      <c r="A827" s="11" t="s">
        <v>1119</v>
      </c>
      <c r="B827" s="11" t="s">
        <v>1120</v>
      </c>
      <c r="C827" s="612">
        <v>740</v>
      </c>
      <c r="D827" s="612">
        <v>1605777.04529496</v>
      </c>
      <c r="E827" s="613">
        <v>5232.8074881791399</v>
      </c>
      <c r="F827" s="614">
        <v>65.195770590065607</v>
      </c>
      <c r="G827" s="615">
        <v>0.21245596799436101</v>
      </c>
    </row>
    <row r="828" spans="1:7" x14ac:dyDescent="0.25">
      <c r="A828" s="6" t="s">
        <v>1121</v>
      </c>
      <c r="B828" s="6" t="s">
        <v>1122</v>
      </c>
      <c r="C828" s="608">
        <v>1869</v>
      </c>
      <c r="D828" s="608">
        <v>742754.32067462394</v>
      </c>
      <c r="E828" s="609">
        <v>5917.0475153962198</v>
      </c>
      <c r="F828" s="610">
        <v>30.156390912032101</v>
      </c>
      <c r="G828" s="611">
        <v>0.24023663404246101</v>
      </c>
    </row>
    <row r="829" spans="1:7" x14ac:dyDescent="0.25">
      <c r="A829" s="11" t="s">
        <v>1123</v>
      </c>
      <c r="B829" s="11" t="s">
        <v>1124</v>
      </c>
      <c r="C829" s="612">
        <v>377</v>
      </c>
      <c r="D829" s="612">
        <v>114282.03675298201</v>
      </c>
      <c r="E829" s="613">
        <v>2785.4543983973299</v>
      </c>
      <c r="F829" s="614">
        <v>4.6399377002828199</v>
      </c>
      <c r="G829" s="615">
        <v>0.113091569268038</v>
      </c>
    </row>
    <row r="830" spans="1:7" x14ac:dyDescent="0.25">
      <c r="A830" s="6" t="s">
        <v>1117</v>
      </c>
      <c r="B830" s="6" t="s">
        <v>1118</v>
      </c>
      <c r="C830" s="608">
        <v>1</v>
      </c>
      <c r="D830" s="608">
        <v>194.59727742908899</v>
      </c>
      <c r="E830" s="609">
        <v>197.111437190255</v>
      </c>
      <c r="F830" s="610">
        <v>7.9007976193779805E-3</v>
      </c>
      <c r="G830" s="611">
        <v>8.0028744198254592E-3</v>
      </c>
    </row>
    <row r="831" spans="1:7" x14ac:dyDescent="0.25">
      <c r="A831" s="11" t="s">
        <v>6293</v>
      </c>
      <c r="B831" s="11" t="s">
        <v>6294</v>
      </c>
      <c r="C831" s="612">
        <v>2987</v>
      </c>
      <c r="D831" s="612">
        <v>2463008</v>
      </c>
      <c r="E831" s="613">
        <v>1.87276243607297E-8</v>
      </c>
      <c r="F831" s="614">
        <v>100</v>
      </c>
      <c r="G831" s="615">
        <v>9.8589519201957698E-14</v>
      </c>
    </row>
    <row r="832" spans="1:7" x14ac:dyDescent="0.25">
      <c r="A832" s="6" t="s">
        <v>6293</v>
      </c>
      <c r="B832" s="6" t="s">
        <v>6295</v>
      </c>
      <c r="C832" s="608">
        <v>2987</v>
      </c>
      <c r="D832" s="608">
        <v>2463008</v>
      </c>
      <c r="E832" s="609">
        <v>0</v>
      </c>
      <c r="F832" s="610">
        <v>100</v>
      </c>
      <c r="G832" s="611">
        <v>0</v>
      </c>
    </row>
    <row r="833" spans="1:7" x14ac:dyDescent="0.25">
      <c r="A833" s="3353" t="s">
        <v>248</v>
      </c>
      <c r="B833" s="3354"/>
      <c r="C833" s="3354"/>
      <c r="D833" s="3354"/>
      <c r="E833" s="3354"/>
      <c r="F833" s="3354"/>
      <c r="G833" s="3354"/>
    </row>
    <row r="834" spans="1:7" x14ac:dyDescent="0.25">
      <c r="A834" s="11" t="s">
        <v>984</v>
      </c>
      <c r="B834" s="11" t="s">
        <v>3011</v>
      </c>
      <c r="C834" s="620">
        <v>2645</v>
      </c>
      <c r="D834" s="620">
        <v>1998221.71767148</v>
      </c>
      <c r="E834" s="621">
        <v>48191.277111086798</v>
      </c>
      <c r="F834" s="622">
        <v>81.656206436281707</v>
      </c>
      <c r="G834" s="623">
        <v>1.8248761828635001</v>
      </c>
    </row>
    <row r="835" spans="1:7" x14ac:dyDescent="0.25">
      <c r="A835" s="6" t="s">
        <v>1005</v>
      </c>
      <c r="B835" s="6" t="s">
        <v>3017</v>
      </c>
      <c r="C835" s="616">
        <v>68</v>
      </c>
      <c r="D835" s="616">
        <v>111010.254532127</v>
      </c>
      <c r="E835" s="617">
        <v>28672.035307681701</v>
      </c>
      <c r="F835" s="618">
        <v>4.5363716050402001</v>
      </c>
      <c r="G835" s="619">
        <v>1.17599131098416</v>
      </c>
    </row>
    <row r="836" spans="1:7" x14ac:dyDescent="0.25">
      <c r="A836" s="11" t="s">
        <v>986</v>
      </c>
      <c r="B836" s="11" t="s">
        <v>3012</v>
      </c>
      <c r="C836" s="620">
        <v>43</v>
      </c>
      <c r="D836" s="620">
        <v>105369.928495025</v>
      </c>
      <c r="E836" s="621">
        <v>0.37004163197761802</v>
      </c>
      <c r="F836" s="622">
        <v>4.3058828543773</v>
      </c>
      <c r="G836" s="623">
        <v>1.7116758502440901E-2</v>
      </c>
    </row>
    <row r="837" spans="1:7" x14ac:dyDescent="0.25">
      <c r="A837" s="6" t="s">
        <v>988</v>
      </c>
      <c r="B837" s="6" t="s">
        <v>3013</v>
      </c>
      <c r="C837" s="616">
        <v>45</v>
      </c>
      <c r="D837" s="616">
        <v>89920.229690547494</v>
      </c>
      <c r="E837" s="617">
        <v>24519.9163926039</v>
      </c>
      <c r="F837" s="618">
        <v>3.6745396036258899</v>
      </c>
      <c r="G837" s="619">
        <v>1.0038175181136699</v>
      </c>
    </row>
    <row r="838" spans="1:7" x14ac:dyDescent="0.25">
      <c r="A838" s="11" t="s">
        <v>994</v>
      </c>
      <c r="B838" s="11" t="s">
        <v>3016</v>
      </c>
      <c r="C838" s="620">
        <v>87</v>
      </c>
      <c r="D838" s="620">
        <v>71886.631723364393</v>
      </c>
      <c r="E838" s="621">
        <v>14731.2247103257</v>
      </c>
      <c r="F838" s="622">
        <v>2.9376067671070398</v>
      </c>
      <c r="G838" s="623">
        <v>0.604924413667289</v>
      </c>
    </row>
    <row r="839" spans="1:7" x14ac:dyDescent="0.25">
      <c r="A839" s="6" t="s">
        <v>990</v>
      </c>
      <c r="B839" s="6" t="s">
        <v>3014</v>
      </c>
      <c r="C839" s="616">
        <v>66</v>
      </c>
      <c r="D839" s="616">
        <v>49806.9841462802</v>
      </c>
      <c r="E839" s="617">
        <v>10727.2267204984</v>
      </c>
      <c r="F839" s="618">
        <v>2.0353343892971898</v>
      </c>
      <c r="G839" s="619">
        <v>0.43995497729723798</v>
      </c>
    </row>
    <row r="840" spans="1:7" x14ac:dyDescent="0.25">
      <c r="A840" s="11" t="s">
        <v>992</v>
      </c>
      <c r="B840" s="11" t="s">
        <v>3015</v>
      </c>
      <c r="C840" s="620">
        <v>10</v>
      </c>
      <c r="D840" s="620">
        <v>20899.794469534401</v>
      </c>
      <c r="E840" s="621">
        <v>13941.0569334182</v>
      </c>
      <c r="F840" s="622">
        <v>0.85405834427064897</v>
      </c>
      <c r="G840" s="623">
        <v>0.56915851251716998</v>
      </c>
    </row>
    <row r="841" spans="1:7" x14ac:dyDescent="0.25">
      <c r="A841" s="6" t="s">
        <v>980</v>
      </c>
      <c r="B841" s="6" t="s">
        <v>3009</v>
      </c>
      <c r="C841" s="616">
        <v>20</v>
      </c>
      <c r="D841" s="616">
        <v>8413.9750287298393</v>
      </c>
      <c r="E841" s="617">
        <v>3565.1986496275799</v>
      </c>
      <c r="F841" s="618">
        <v>52.9431907605641</v>
      </c>
      <c r="G841" s="619">
        <v>42.727279233197301</v>
      </c>
    </row>
    <row r="842" spans="1:7" x14ac:dyDescent="0.25">
      <c r="A842" s="11" t="s">
        <v>978</v>
      </c>
      <c r="B842" s="11" t="s">
        <v>3010</v>
      </c>
      <c r="C842" s="620">
        <v>3</v>
      </c>
      <c r="D842" s="620">
        <v>7478.4842429111504</v>
      </c>
      <c r="E842" s="621">
        <v>7244.3473922975099</v>
      </c>
      <c r="F842" s="622">
        <v>47.0568092394359</v>
      </c>
      <c r="G842" s="623">
        <v>42.727279233197301</v>
      </c>
    </row>
    <row r="843" spans="1:7" x14ac:dyDescent="0.25">
      <c r="A843" s="6" t="s">
        <v>6293</v>
      </c>
      <c r="B843" s="6" t="s">
        <v>6294</v>
      </c>
      <c r="C843" s="616">
        <v>2964</v>
      </c>
      <c r="D843" s="616">
        <v>2447115.5407283599</v>
      </c>
      <c r="E843" s="617">
        <v>9764.8082562081108</v>
      </c>
      <c r="F843" s="618">
        <v>99.354754053919393</v>
      </c>
      <c r="G843" s="619">
        <v>0.39645864959475202</v>
      </c>
    </row>
    <row r="844" spans="1:7" x14ac:dyDescent="0.25">
      <c r="A844" s="11" t="s">
        <v>6293</v>
      </c>
      <c r="B844" s="11" t="s">
        <v>6295</v>
      </c>
      <c r="C844" s="620">
        <v>2987</v>
      </c>
      <c r="D844" s="620">
        <v>2463008</v>
      </c>
      <c r="E844" s="621">
        <v>0</v>
      </c>
      <c r="F844" s="622">
        <v>100</v>
      </c>
      <c r="G844" s="623">
        <v>0</v>
      </c>
    </row>
    <row r="845" spans="1:7" x14ac:dyDescent="0.25">
      <c r="A845" s="3353" t="s">
        <v>242</v>
      </c>
      <c r="B845" s="3354"/>
      <c r="C845" s="3354"/>
      <c r="D845" s="3354"/>
      <c r="E845" s="3354"/>
      <c r="F845" s="3354"/>
      <c r="G845" s="3354"/>
    </row>
    <row r="846" spans="1:7" x14ac:dyDescent="0.25">
      <c r="A846" s="11" t="s">
        <v>986</v>
      </c>
      <c r="B846" s="11" t="s">
        <v>1062</v>
      </c>
      <c r="C846" s="628">
        <v>2685</v>
      </c>
      <c r="D846" s="628">
        <v>1904044.21227571</v>
      </c>
      <c r="E846" s="629">
        <v>558.74071449747805</v>
      </c>
      <c r="F846" s="630">
        <v>77.339245253057697</v>
      </c>
      <c r="G846" s="631">
        <v>1.27165197821277E-2</v>
      </c>
    </row>
    <row r="847" spans="1:7" x14ac:dyDescent="0.25">
      <c r="A847" s="6" t="s">
        <v>984</v>
      </c>
      <c r="B847" s="6" t="s">
        <v>1061</v>
      </c>
      <c r="C847" s="624">
        <v>293</v>
      </c>
      <c r="D847" s="624">
        <v>557893.715933425</v>
      </c>
      <c r="E847" s="625">
        <v>354.64860913035898</v>
      </c>
      <c r="F847" s="626">
        <v>22.660754746942398</v>
      </c>
      <c r="G847" s="627">
        <v>1.2716519782141E-2</v>
      </c>
    </row>
    <row r="848" spans="1:7" x14ac:dyDescent="0.25">
      <c r="A848" s="11" t="s">
        <v>980</v>
      </c>
      <c r="B848" s="11" t="s">
        <v>3009</v>
      </c>
      <c r="C848" s="628">
        <v>9</v>
      </c>
      <c r="D848" s="628">
        <v>1070.07179087042</v>
      </c>
      <c r="E848" s="629">
        <v>631.92886339862605</v>
      </c>
      <c r="F848" s="630">
        <v>100</v>
      </c>
      <c r="G848" s="631">
        <v>0</v>
      </c>
    </row>
    <row r="849" spans="1:7" x14ac:dyDescent="0.25">
      <c r="A849" s="6" t="s">
        <v>6293</v>
      </c>
      <c r="B849" s="6" t="s">
        <v>6294</v>
      </c>
      <c r="C849" s="624">
        <v>2978</v>
      </c>
      <c r="D849" s="624">
        <v>2461937.9282091302</v>
      </c>
      <c r="E849" s="625">
        <v>631.92886339835195</v>
      </c>
      <c r="F849" s="626">
        <v>99.9565542705963</v>
      </c>
      <c r="G849" s="627">
        <v>2.5656792970163399E-2</v>
      </c>
    </row>
    <row r="850" spans="1:7" x14ac:dyDescent="0.25">
      <c r="A850" s="11" t="s">
        <v>6293</v>
      </c>
      <c r="B850" s="11" t="s">
        <v>6295</v>
      </c>
      <c r="C850" s="628">
        <v>2987</v>
      </c>
      <c r="D850" s="628">
        <v>2463008</v>
      </c>
      <c r="E850" s="629">
        <v>0</v>
      </c>
      <c r="F850" s="630">
        <v>100</v>
      </c>
      <c r="G850" s="631">
        <v>0</v>
      </c>
    </row>
    <row r="851" spans="1:7" x14ac:dyDescent="0.25">
      <c r="A851" s="3353" t="s">
        <v>237</v>
      </c>
      <c r="B851" s="3354"/>
      <c r="C851" s="3354"/>
      <c r="D851" s="3354"/>
      <c r="E851" s="3354"/>
      <c r="F851" s="3354"/>
      <c r="G851" s="3354"/>
    </row>
    <row r="852" spans="1:7" x14ac:dyDescent="0.25">
      <c r="A852" s="11" t="s">
        <v>2479</v>
      </c>
      <c r="B852" s="11" t="s">
        <v>2480</v>
      </c>
      <c r="C852" s="636">
        <v>731</v>
      </c>
      <c r="D852" s="636">
        <v>1604213.6258052499</v>
      </c>
      <c r="E852" s="637">
        <v>5070.7980055005</v>
      </c>
      <c r="F852" s="638">
        <v>65.132294568480901</v>
      </c>
      <c r="G852" s="639">
        <v>0.205878259652441</v>
      </c>
    </row>
    <row r="853" spans="1:7" x14ac:dyDescent="0.25">
      <c r="A853" s="6" t="s">
        <v>2847</v>
      </c>
      <c r="B853" s="6" t="s">
        <v>2848</v>
      </c>
      <c r="C853" s="632">
        <v>233</v>
      </c>
      <c r="D853" s="632">
        <v>429224.29583710601</v>
      </c>
      <c r="E853" s="633">
        <v>18511.666174053498</v>
      </c>
      <c r="F853" s="634">
        <v>17.426833198962601</v>
      </c>
      <c r="G853" s="635">
        <v>0.75158774043987597</v>
      </c>
    </row>
    <row r="854" spans="1:7" x14ac:dyDescent="0.25">
      <c r="A854" s="11" t="s">
        <v>2991</v>
      </c>
      <c r="B854" s="11" t="s">
        <v>2992</v>
      </c>
      <c r="C854" s="636">
        <v>258</v>
      </c>
      <c r="D854" s="636">
        <v>81277.213887175007</v>
      </c>
      <c r="E854" s="637">
        <v>12441.0159872166</v>
      </c>
      <c r="F854" s="638">
        <v>3.2999167638584601</v>
      </c>
      <c r="G854" s="639">
        <v>0.50511472099224197</v>
      </c>
    </row>
    <row r="855" spans="1:7" x14ac:dyDescent="0.25">
      <c r="A855" s="6" t="s">
        <v>2531</v>
      </c>
      <c r="B855" s="6" t="s">
        <v>2532</v>
      </c>
      <c r="C855" s="632">
        <v>522</v>
      </c>
      <c r="D855" s="632">
        <v>68680.557475990194</v>
      </c>
      <c r="E855" s="633">
        <v>5576.7440181456604</v>
      </c>
      <c r="F855" s="634">
        <v>2.7884829231569799</v>
      </c>
      <c r="G855" s="635">
        <v>0.22642005296554801</v>
      </c>
    </row>
    <row r="856" spans="1:7" x14ac:dyDescent="0.25">
      <c r="A856" s="11" t="s">
        <v>2087</v>
      </c>
      <c r="B856" s="11" t="s">
        <v>2088</v>
      </c>
      <c r="C856" s="636">
        <v>428</v>
      </c>
      <c r="D856" s="636">
        <v>67947.938280470597</v>
      </c>
      <c r="E856" s="637">
        <v>8768.7713663263003</v>
      </c>
      <c r="F856" s="638">
        <v>2.75873802604257</v>
      </c>
      <c r="G856" s="639">
        <v>0.35601879353726301</v>
      </c>
    </row>
    <row r="857" spans="1:7" x14ac:dyDescent="0.25">
      <c r="A857" s="6" t="s">
        <v>2723</v>
      </c>
      <c r="B857" s="6" t="s">
        <v>2724</v>
      </c>
      <c r="C857" s="632">
        <v>221</v>
      </c>
      <c r="D857" s="632">
        <v>48200.0652610947</v>
      </c>
      <c r="E857" s="633">
        <v>7407.5892470374201</v>
      </c>
      <c r="F857" s="634">
        <v>1.95695934650211</v>
      </c>
      <c r="G857" s="635">
        <v>0.30075376316428798</v>
      </c>
    </row>
    <row r="858" spans="1:7" x14ac:dyDescent="0.25">
      <c r="A858" s="11" t="s">
        <v>1767</v>
      </c>
      <c r="B858" s="11" t="s">
        <v>1768</v>
      </c>
      <c r="C858" s="636">
        <v>202</v>
      </c>
      <c r="D858" s="636">
        <v>42221.687597752403</v>
      </c>
      <c r="E858" s="637">
        <v>8252.2750569574091</v>
      </c>
      <c r="F858" s="638">
        <v>1.71423266175962</v>
      </c>
      <c r="G858" s="639">
        <v>0.33504865014475899</v>
      </c>
    </row>
    <row r="859" spans="1:7" x14ac:dyDescent="0.25">
      <c r="A859" s="6" t="s">
        <v>2717</v>
      </c>
      <c r="B859" s="6" t="s">
        <v>2718</v>
      </c>
      <c r="C859" s="632">
        <v>143</v>
      </c>
      <c r="D859" s="632">
        <v>38524.501567517298</v>
      </c>
      <c r="E859" s="633">
        <v>7857.2961323841801</v>
      </c>
      <c r="F859" s="634">
        <v>1.56412409409621</v>
      </c>
      <c r="G859" s="635">
        <v>0.319012205091669</v>
      </c>
    </row>
    <row r="860" spans="1:7" x14ac:dyDescent="0.25">
      <c r="A860" s="11" t="s">
        <v>2371</v>
      </c>
      <c r="B860" s="11" t="s">
        <v>2372</v>
      </c>
      <c r="C860" s="636">
        <v>45</v>
      </c>
      <c r="D860" s="636">
        <v>27660.2838736249</v>
      </c>
      <c r="E860" s="637">
        <v>5887.6519435927903</v>
      </c>
      <c r="F860" s="638">
        <v>1.12302858430118</v>
      </c>
      <c r="G860" s="639">
        <v>0.239043151447043</v>
      </c>
    </row>
    <row r="861" spans="1:7" x14ac:dyDescent="0.25">
      <c r="A861" s="6" t="s">
        <v>2615</v>
      </c>
      <c r="B861" s="6" t="s">
        <v>2616</v>
      </c>
      <c r="C861" s="632">
        <v>35</v>
      </c>
      <c r="D861" s="632">
        <v>17366.773490835101</v>
      </c>
      <c r="E861" s="633">
        <v>4062.5824004486199</v>
      </c>
      <c r="F861" s="634">
        <v>0.705104225842347</v>
      </c>
      <c r="G861" s="635">
        <v>0.16494393848694899</v>
      </c>
    </row>
    <row r="862" spans="1:7" x14ac:dyDescent="0.25">
      <c r="A862" s="11" t="s">
        <v>2467</v>
      </c>
      <c r="B862" s="11" t="s">
        <v>2468</v>
      </c>
      <c r="C862" s="636">
        <v>71</v>
      </c>
      <c r="D862" s="636">
        <v>14823.6632023662</v>
      </c>
      <c r="E862" s="637">
        <v>5348.9986294893197</v>
      </c>
      <c r="F862" s="638">
        <v>0.60185201194499405</v>
      </c>
      <c r="G862" s="639">
        <v>0.217173416793178</v>
      </c>
    </row>
    <row r="863" spans="1:7" x14ac:dyDescent="0.25">
      <c r="A863" s="6" t="s">
        <v>6456</v>
      </c>
      <c r="B863" s="6"/>
      <c r="C863" s="632">
        <v>79</v>
      </c>
      <c r="D863" s="632">
        <v>13471.417008713301</v>
      </c>
      <c r="E863" s="633">
        <v>3921.6872616267801</v>
      </c>
      <c r="F863" s="634">
        <v>0.54694978695616403</v>
      </c>
      <c r="G863" s="635">
        <v>0.15922348858090499</v>
      </c>
    </row>
    <row r="864" spans="1:7" x14ac:dyDescent="0.25">
      <c r="A864" s="11" t="s">
        <v>1381</v>
      </c>
      <c r="B864" s="11" t="s">
        <v>1382</v>
      </c>
      <c r="C864" s="636">
        <v>1</v>
      </c>
      <c r="D864" s="636">
        <v>4649.3568074492096</v>
      </c>
      <c r="E864" s="637">
        <v>4782.68195574735</v>
      </c>
      <c r="F864" s="638">
        <v>0.18876742614921299</v>
      </c>
      <c r="G864" s="639">
        <v>0.194180528676616</v>
      </c>
    </row>
    <row r="865" spans="1:7" x14ac:dyDescent="0.25">
      <c r="A865" s="6" t="s">
        <v>1255</v>
      </c>
      <c r="B865" s="6" t="s">
        <v>1256</v>
      </c>
      <c r="C865" s="632">
        <v>1</v>
      </c>
      <c r="D865" s="632">
        <v>2153.4316136642701</v>
      </c>
      <c r="E865" s="633">
        <v>2447.4955707003301</v>
      </c>
      <c r="F865" s="634">
        <v>8.7430963020187893E-2</v>
      </c>
      <c r="G865" s="635">
        <v>9.9370183560115302E-2</v>
      </c>
    </row>
    <row r="866" spans="1:7" x14ac:dyDescent="0.25">
      <c r="A866" s="11" t="s">
        <v>2681</v>
      </c>
      <c r="B866" s="11" t="s">
        <v>2682</v>
      </c>
      <c r="C866" s="636">
        <v>3</v>
      </c>
      <c r="D866" s="636">
        <v>960.27398836576106</v>
      </c>
      <c r="E866" s="637">
        <v>472.97419341027302</v>
      </c>
      <c r="F866" s="638">
        <v>3.89878550279074E-2</v>
      </c>
      <c r="G866" s="639">
        <v>1.92031123492198E-2</v>
      </c>
    </row>
    <row r="867" spans="1:7" x14ac:dyDescent="0.25">
      <c r="A867" s="6" t="s">
        <v>2625</v>
      </c>
      <c r="B867" s="6" t="s">
        <v>2626</v>
      </c>
      <c r="C867" s="632">
        <v>1</v>
      </c>
      <c r="D867" s="632">
        <v>336.30120704546601</v>
      </c>
      <c r="E867" s="633">
        <v>344.98890756827598</v>
      </c>
      <c r="F867" s="634">
        <v>1.3654085047448699E-2</v>
      </c>
      <c r="G867" s="635">
        <v>1.40068123030163E-2</v>
      </c>
    </row>
    <row r="868" spans="1:7" x14ac:dyDescent="0.25">
      <c r="A868" s="11" t="s">
        <v>2407</v>
      </c>
      <c r="B868" s="11" t="s">
        <v>2408</v>
      </c>
      <c r="C868" s="636">
        <v>1</v>
      </c>
      <c r="D868" s="636">
        <v>243.39472597127201</v>
      </c>
      <c r="E868" s="637">
        <v>247.839008881486</v>
      </c>
      <c r="F868" s="638">
        <v>9.8820111819073308E-3</v>
      </c>
      <c r="G868" s="639">
        <v>1.00624524516967E-2</v>
      </c>
    </row>
    <row r="869" spans="1:7" x14ac:dyDescent="0.25">
      <c r="A869" s="6" t="s">
        <v>1305</v>
      </c>
      <c r="B869" s="6" t="s">
        <v>1306</v>
      </c>
      <c r="C869" s="632">
        <v>1</v>
      </c>
      <c r="D869" s="632">
        <v>194.59727742908899</v>
      </c>
      <c r="E869" s="633">
        <v>197.111437190255</v>
      </c>
      <c r="F869" s="634">
        <v>7.9007976193779701E-3</v>
      </c>
      <c r="G869" s="635">
        <v>8.0028744198254592E-3</v>
      </c>
    </row>
    <row r="870" spans="1:7" x14ac:dyDescent="0.25">
      <c r="A870" s="11" t="s">
        <v>2949</v>
      </c>
      <c r="B870" s="11" t="s">
        <v>2950</v>
      </c>
      <c r="C870" s="636">
        <v>1</v>
      </c>
      <c r="D870" s="636">
        <v>158.036701308218</v>
      </c>
      <c r="E870" s="637">
        <v>158.49481785624701</v>
      </c>
      <c r="F870" s="638">
        <v>6.4164103936413504E-3</v>
      </c>
      <c r="G870" s="639">
        <v>6.4350102742763097E-3</v>
      </c>
    </row>
    <row r="871" spans="1:7" x14ac:dyDescent="0.25">
      <c r="A871" s="6" t="s">
        <v>2603</v>
      </c>
      <c r="B871" s="6" t="s">
        <v>2604</v>
      </c>
      <c r="C871" s="632">
        <v>1</v>
      </c>
      <c r="D871" s="632">
        <v>153.81963096614101</v>
      </c>
      <c r="E871" s="633">
        <v>166.7328266703</v>
      </c>
      <c r="F871" s="634">
        <v>6.2451941271056003E-3</v>
      </c>
      <c r="G871" s="635">
        <v>6.7694797040976102E-3</v>
      </c>
    </row>
    <row r="872" spans="1:7" x14ac:dyDescent="0.25">
      <c r="A872" s="11" t="s">
        <v>1611</v>
      </c>
      <c r="B872" s="11" t="s">
        <v>1612</v>
      </c>
      <c r="C872" s="636">
        <v>1</v>
      </c>
      <c r="D872" s="636">
        <v>133.24087940269601</v>
      </c>
      <c r="E872" s="637">
        <v>139.435991770058</v>
      </c>
      <c r="F872" s="638">
        <v>5.4096811460903104E-3</v>
      </c>
      <c r="G872" s="639">
        <v>5.6612074248259996E-3</v>
      </c>
    </row>
    <row r="873" spans="1:7" x14ac:dyDescent="0.25">
      <c r="A873" s="6" t="s">
        <v>2385</v>
      </c>
      <c r="B873" s="6" t="s">
        <v>2386</v>
      </c>
      <c r="C873" s="632">
        <v>1</v>
      </c>
      <c r="D873" s="632">
        <v>128.14636529480001</v>
      </c>
      <c r="E873" s="633">
        <v>126.649021017092</v>
      </c>
      <c r="F873" s="634">
        <v>5.20283999462446E-3</v>
      </c>
      <c r="G873" s="635">
        <v>5.14204667695322E-3</v>
      </c>
    </row>
    <row r="874" spans="1:7" x14ac:dyDescent="0.25">
      <c r="A874" s="11" t="s">
        <v>1733</v>
      </c>
      <c r="B874" s="11" t="s">
        <v>1734</v>
      </c>
      <c r="C874" s="636">
        <v>1</v>
      </c>
      <c r="D874" s="636">
        <v>78.746292617386501</v>
      </c>
      <c r="E874" s="637">
        <v>80.986813328912504</v>
      </c>
      <c r="F874" s="638">
        <v>3.1971594333995899E-3</v>
      </c>
      <c r="G874" s="639">
        <v>3.28812628009785E-3</v>
      </c>
    </row>
    <row r="875" spans="1:7" x14ac:dyDescent="0.25">
      <c r="A875" s="6" t="s">
        <v>2023</v>
      </c>
      <c r="B875" s="6" t="s">
        <v>2024</v>
      </c>
      <c r="C875" s="632">
        <v>1</v>
      </c>
      <c r="D875" s="632">
        <v>73.027807691990006</v>
      </c>
      <c r="E875" s="633">
        <v>75.113205033886999</v>
      </c>
      <c r="F875" s="634">
        <v>2.96498459168586E-3</v>
      </c>
      <c r="G875" s="635">
        <v>3.04965331147471E-3</v>
      </c>
    </row>
    <row r="876" spans="1:7" x14ac:dyDescent="0.25">
      <c r="A876" s="11" t="s">
        <v>2103</v>
      </c>
      <c r="B876" s="11" t="s">
        <v>2104</v>
      </c>
      <c r="C876" s="636">
        <v>1</v>
      </c>
      <c r="D876" s="636">
        <v>55.4562863982596</v>
      </c>
      <c r="E876" s="637">
        <v>56.949120461764799</v>
      </c>
      <c r="F876" s="638">
        <v>2.2515674491621501E-3</v>
      </c>
      <c r="G876" s="639">
        <v>2.3121776487029198E-3</v>
      </c>
    </row>
    <row r="877" spans="1:7" x14ac:dyDescent="0.25">
      <c r="A877" s="6" t="s">
        <v>1643</v>
      </c>
      <c r="B877" s="6" t="s">
        <v>1644</v>
      </c>
      <c r="C877" s="632">
        <v>1</v>
      </c>
      <c r="D877" s="632">
        <v>40.324065728696503</v>
      </c>
      <c r="E877" s="633">
        <v>41.044040815438102</v>
      </c>
      <c r="F877" s="634">
        <v>1.6371877691301201E-3</v>
      </c>
      <c r="G877" s="635">
        <v>1.6664193058016101E-3</v>
      </c>
    </row>
    <row r="878" spans="1:7" x14ac:dyDescent="0.25">
      <c r="A878" s="11" t="s">
        <v>2521</v>
      </c>
      <c r="B878" s="11" t="s">
        <v>2522</v>
      </c>
      <c r="C878" s="636">
        <v>1</v>
      </c>
      <c r="D878" s="636">
        <v>37.823062770847997</v>
      </c>
      <c r="E878" s="637">
        <v>38.291693080922698</v>
      </c>
      <c r="F878" s="638">
        <v>1.53564514491419E-3</v>
      </c>
      <c r="G878" s="639">
        <v>1.5546718922927901E-3</v>
      </c>
    </row>
    <row r="879" spans="1:7" x14ac:dyDescent="0.25">
      <c r="A879" s="6" t="s">
        <v>6293</v>
      </c>
      <c r="B879" s="6" t="s">
        <v>6294</v>
      </c>
      <c r="C879" s="632">
        <v>2985</v>
      </c>
      <c r="D879" s="632">
        <v>2463008</v>
      </c>
      <c r="E879" s="633">
        <v>8.8353017163510806E-9</v>
      </c>
      <c r="F879" s="634">
        <v>100</v>
      </c>
      <c r="G879" s="635">
        <v>9.4764635797477106E-14</v>
      </c>
    </row>
    <row r="880" spans="1:7" x14ac:dyDescent="0.25">
      <c r="A880" s="11" t="s">
        <v>6293</v>
      </c>
      <c r="B880" s="11" t="s">
        <v>6295</v>
      </c>
      <c r="C880" s="636">
        <v>2985</v>
      </c>
      <c r="D880" s="636">
        <v>2463008</v>
      </c>
      <c r="E880" s="637">
        <v>0</v>
      </c>
      <c r="F880" s="638">
        <v>100</v>
      </c>
      <c r="G880" s="639">
        <v>0</v>
      </c>
    </row>
    <row r="881" spans="1:7" x14ac:dyDescent="0.25">
      <c r="A881" s="3353" t="s">
        <v>564</v>
      </c>
      <c r="B881" s="3354"/>
      <c r="C881" s="3354"/>
      <c r="D881" s="3354"/>
      <c r="E881" s="3354"/>
      <c r="F881" s="3354"/>
      <c r="G881" s="3354"/>
    </row>
    <row r="882" spans="1:7" x14ac:dyDescent="0.25">
      <c r="A882" s="11" t="s">
        <v>6298</v>
      </c>
      <c r="B882" s="11"/>
      <c r="C882" s="644">
        <v>1460</v>
      </c>
      <c r="D882" s="644">
        <v>882579.99999999802</v>
      </c>
      <c r="E882" s="645">
        <v>1.4886472110793101E-8</v>
      </c>
      <c r="F882" s="646">
        <v>35.833419948290803</v>
      </c>
      <c r="G882" s="647">
        <v>5.3223752360618304E-13</v>
      </c>
    </row>
    <row r="883" spans="1:7" x14ac:dyDescent="0.25">
      <c r="A883" s="6" t="s">
        <v>6296</v>
      </c>
      <c r="B883" s="6"/>
      <c r="C883" s="640">
        <v>954</v>
      </c>
      <c r="D883" s="640">
        <v>679338</v>
      </c>
      <c r="E883" s="641">
        <v>2.7223696073571001E-9</v>
      </c>
      <c r="F883" s="642">
        <v>27.5816400109135</v>
      </c>
      <c r="G883" s="643">
        <v>6.62156860934185E-14</v>
      </c>
    </row>
    <row r="884" spans="1:7" x14ac:dyDescent="0.25">
      <c r="A884" s="11" t="s">
        <v>6300</v>
      </c>
      <c r="B884" s="11"/>
      <c r="C884" s="644">
        <v>201</v>
      </c>
      <c r="D884" s="644">
        <v>370303.30670020601</v>
      </c>
      <c r="E884" s="645">
        <v>23681.5296824094</v>
      </c>
      <c r="F884" s="646">
        <v>15.0345961807759</v>
      </c>
      <c r="G884" s="647">
        <v>0.96148813493132701</v>
      </c>
    </row>
    <row r="885" spans="1:7" x14ac:dyDescent="0.25">
      <c r="A885" s="6" t="s">
        <v>6297</v>
      </c>
      <c r="B885" s="6"/>
      <c r="C885" s="640">
        <v>262</v>
      </c>
      <c r="D885" s="640">
        <v>342551.00000000099</v>
      </c>
      <c r="E885" s="641">
        <v>6.3459699372324802E-9</v>
      </c>
      <c r="F885" s="642">
        <v>13.9078313996544</v>
      </c>
      <c r="G885" s="643">
        <v>2.6947219267148201E-13</v>
      </c>
    </row>
    <row r="886" spans="1:7" x14ac:dyDescent="0.25">
      <c r="A886" s="11" t="s">
        <v>6299</v>
      </c>
      <c r="B886" s="11"/>
      <c r="C886" s="644">
        <v>71</v>
      </c>
      <c r="D886" s="644">
        <v>124114.13141556</v>
      </c>
      <c r="E886" s="645">
        <v>26362.0519842373</v>
      </c>
      <c r="F886" s="646">
        <v>5.0391282292042803</v>
      </c>
      <c r="G886" s="647">
        <v>1.0703193811890701</v>
      </c>
    </row>
    <row r="887" spans="1:7" x14ac:dyDescent="0.25">
      <c r="A887" s="6" t="s">
        <v>6301</v>
      </c>
      <c r="B887" s="6"/>
      <c r="C887" s="640">
        <v>24</v>
      </c>
      <c r="D887" s="640">
        <v>31407.736349458999</v>
      </c>
      <c r="E887" s="641">
        <v>10180.9398052549</v>
      </c>
      <c r="F887" s="642">
        <v>1.27517800792604</v>
      </c>
      <c r="G887" s="643">
        <v>0.41335390730582</v>
      </c>
    </row>
    <row r="888" spans="1:7" x14ac:dyDescent="0.25">
      <c r="A888" s="11" t="s">
        <v>6302</v>
      </c>
      <c r="B888" s="11"/>
      <c r="C888" s="644">
        <v>9</v>
      </c>
      <c r="D888" s="644">
        <v>24568.909502568698</v>
      </c>
      <c r="E888" s="645">
        <v>8443.0589725723094</v>
      </c>
      <c r="F888" s="646">
        <v>0.99751643123240796</v>
      </c>
      <c r="G888" s="647">
        <v>0.34279462237119501</v>
      </c>
    </row>
    <row r="889" spans="1:7" x14ac:dyDescent="0.25">
      <c r="A889" s="6" t="s">
        <v>6304</v>
      </c>
      <c r="B889" s="6"/>
      <c r="C889" s="640">
        <v>2</v>
      </c>
      <c r="D889" s="640">
        <v>6308.5794218028204</v>
      </c>
      <c r="E889" s="641">
        <v>5264.82840168657</v>
      </c>
      <c r="F889" s="642">
        <v>0.25613312753360201</v>
      </c>
      <c r="G889" s="643">
        <v>0.213756041461764</v>
      </c>
    </row>
    <row r="890" spans="1:7" x14ac:dyDescent="0.25">
      <c r="A890" s="11" t="s">
        <v>6303</v>
      </c>
      <c r="B890" s="11"/>
      <c r="C890" s="644">
        <v>3</v>
      </c>
      <c r="D890" s="644">
        <v>1836.33661040468</v>
      </c>
      <c r="E890" s="645">
        <v>1478.2142747049099</v>
      </c>
      <c r="F890" s="646">
        <v>7.4556664469002304E-2</v>
      </c>
      <c r="G890" s="647">
        <v>6.0016624984770998E-2</v>
      </c>
    </row>
    <row r="891" spans="1:7" x14ac:dyDescent="0.25">
      <c r="A891" s="6" t="s">
        <v>6293</v>
      </c>
      <c r="B891" s="6" t="s">
        <v>6294</v>
      </c>
      <c r="C891" s="640">
        <v>2986</v>
      </c>
      <c r="D891" s="640">
        <v>2463008</v>
      </c>
      <c r="E891" s="641">
        <v>8.6007886480508002E-9</v>
      </c>
      <c r="F891" s="642">
        <v>100</v>
      </c>
      <c r="G891" s="643">
        <v>2.0557335828564899E-14</v>
      </c>
    </row>
    <row r="892" spans="1:7" x14ac:dyDescent="0.25">
      <c r="A892" s="11" t="s">
        <v>6293</v>
      </c>
      <c r="B892" s="11" t="s">
        <v>6295</v>
      </c>
      <c r="C892" s="644">
        <v>2986</v>
      </c>
      <c r="D892" s="644">
        <v>2463008</v>
      </c>
      <c r="E892" s="645">
        <v>0</v>
      </c>
      <c r="F892" s="646">
        <v>100</v>
      </c>
      <c r="G892" s="647">
        <v>0</v>
      </c>
    </row>
    <row r="893" spans="1:7" x14ac:dyDescent="0.25">
      <c r="A893" s="3353" t="s">
        <v>186</v>
      </c>
      <c r="B893" s="3354"/>
      <c r="C893" s="3354"/>
      <c r="D893" s="3354"/>
      <c r="E893" s="3354"/>
      <c r="F893" s="3354"/>
      <c r="G893" s="3354"/>
    </row>
    <row r="894" spans="1:7" x14ac:dyDescent="0.25">
      <c r="A894" s="11" t="s">
        <v>984</v>
      </c>
      <c r="B894" s="11" t="s">
        <v>1061</v>
      </c>
      <c r="C894" s="652">
        <v>2987</v>
      </c>
      <c r="D894" s="652">
        <v>2463008</v>
      </c>
      <c r="E894" s="653">
        <v>4.30277076979038E-8</v>
      </c>
      <c r="F894" s="654">
        <v>100</v>
      </c>
      <c r="G894" s="655">
        <v>0</v>
      </c>
    </row>
    <row r="895" spans="1:7" x14ac:dyDescent="0.25">
      <c r="A895" s="6" t="s">
        <v>6293</v>
      </c>
      <c r="B895" s="6" t="s">
        <v>6294</v>
      </c>
      <c r="C895" s="648">
        <v>2987</v>
      </c>
      <c r="D895" s="648">
        <v>2463008</v>
      </c>
      <c r="E895" s="649">
        <v>4.30277076979038E-8</v>
      </c>
      <c r="F895" s="650">
        <v>100</v>
      </c>
      <c r="G895" s="651">
        <v>0</v>
      </c>
    </row>
    <row r="896" spans="1:7" x14ac:dyDescent="0.25">
      <c r="A896" s="11" t="s">
        <v>6293</v>
      </c>
      <c r="B896" s="11" t="s">
        <v>6295</v>
      </c>
      <c r="C896" s="652">
        <v>2987</v>
      </c>
      <c r="D896" s="652">
        <v>2463008</v>
      </c>
      <c r="E896" s="653">
        <v>0</v>
      </c>
      <c r="F896" s="654">
        <v>100</v>
      </c>
      <c r="G896" s="655">
        <v>0</v>
      </c>
    </row>
    <row r="897" spans="1:7" x14ac:dyDescent="0.25">
      <c r="A897" s="3353" t="s">
        <v>216</v>
      </c>
      <c r="B897" s="3354"/>
      <c r="C897" s="3354"/>
      <c r="D897" s="3354"/>
      <c r="E897" s="3354"/>
      <c r="F897" s="3354"/>
      <c r="G897" s="3354"/>
    </row>
    <row r="898" spans="1:7" x14ac:dyDescent="0.25">
      <c r="A898" s="11" t="s">
        <v>1177</v>
      </c>
      <c r="B898" s="11" t="s">
        <v>1178</v>
      </c>
      <c r="C898" s="660">
        <v>723</v>
      </c>
      <c r="D898" s="660">
        <v>490531.93363687902</v>
      </c>
      <c r="E898" s="661">
        <v>37898.9315797772</v>
      </c>
      <c r="F898" s="662">
        <v>19.9753123048304</v>
      </c>
      <c r="G898" s="663">
        <v>1.5683381319040799</v>
      </c>
    </row>
    <row r="899" spans="1:7" x14ac:dyDescent="0.25">
      <c r="A899" s="6" t="s">
        <v>1179</v>
      </c>
      <c r="B899" s="6" t="s">
        <v>1180</v>
      </c>
      <c r="C899" s="656">
        <v>492</v>
      </c>
      <c r="D899" s="656">
        <v>418049.94442961703</v>
      </c>
      <c r="E899" s="657">
        <v>40051.857571274697</v>
      </c>
      <c r="F899" s="658">
        <v>17.023719815925901</v>
      </c>
      <c r="G899" s="659">
        <v>1.5979976012949499</v>
      </c>
    </row>
    <row r="900" spans="1:7" x14ac:dyDescent="0.25">
      <c r="A900" s="11" t="s">
        <v>992</v>
      </c>
      <c r="B900" s="11" t="s">
        <v>1176</v>
      </c>
      <c r="C900" s="660">
        <v>659</v>
      </c>
      <c r="D900" s="660">
        <v>361538.52100770897</v>
      </c>
      <c r="E900" s="661">
        <v>27703.4196321378</v>
      </c>
      <c r="F900" s="662">
        <v>14.722476503846799</v>
      </c>
      <c r="G900" s="663">
        <v>1.1385770744483199</v>
      </c>
    </row>
    <row r="901" spans="1:7" x14ac:dyDescent="0.25">
      <c r="A901" s="6" t="s">
        <v>1181</v>
      </c>
      <c r="B901" s="6" t="s">
        <v>1182</v>
      </c>
      <c r="C901" s="656">
        <v>386</v>
      </c>
      <c r="D901" s="656">
        <v>303102.31347624201</v>
      </c>
      <c r="E901" s="657">
        <v>34459.964382593796</v>
      </c>
      <c r="F901" s="658">
        <v>12.342852639817099</v>
      </c>
      <c r="G901" s="659">
        <v>1.40906279245062</v>
      </c>
    </row>
    <row r="902" spans="1:7" x14ac:dyDescent="0.25">
      <c r="A902" s="11" t="s">
        <v>1185</v>
      </c>
      <c r="B902" s="11" t="s">
        <v>1186</v>
      </c>
      <c r="C902" s="660">
        <v>108</v>
      </c>
      <c r="D902" s="660">
        <v>217966.806266926</v>
      </c>
      <c r="E902" s="661">
        <v>30542.908439118499</v>
      </c>
      <c r="F902" s="662">
        <v>8.8759869209480993</v>
      </c>
      <c r="G902" s="663">
        <v>1.24875216484046</v>
      </c>
    </row>
    <row r="903" spans="1:7" x14ac:dyDescent="0.25">
      <c r="A903" s="6" t="s">
        <v>1183</v>
      </c>
      <c r="B903" s="6" t="s">
        <v>1184</v>
      </c>
      <c r="C903" s="656">
        <v>270</v>
      </c>
      <c r="D903" s="656">
        <v>194759.73198652</v>
      </c>
      <c r="E903" s="657">
        <v>32540.676535393799</v>
      </c>
      <c r="F903" s="658">
        <v>7.9309545496699396</v>
      </c>
      <c r="G903" s="659">
        <v>1.32264576310573</v>
      </c>
    </row>
    <row r="904" spans="1:7" x14ac:dyDescent="0.25">
      <c r="A904" s="11" t="s">
        <v>1191</v>
      </c>
      <c r="B904" s="11" t="s">
        <v>1192</v>
      </c>
      <c r="C904" s="660">
        <v>44</v>
      </c>
      <c r="D904" s="660">
        <v>110724.038092259</v>
      </c>
      <c r="E904" s="661">
        <v>22905.833078057</v>
      </c>
      <c r="F904" s="662">
        <v>4.5088751391710202</v>
      </c>
      <c r="G904" s="663">
        <v>0.93388664470281002</v>
      </c>
    </row>
    <row r="905" spans="1:7" x14ac:dyDescent="0.25">
      <c r="A905" s="6" t="s">
        <v>1174</v>
      </c>
      <c r="B905" s="6" t="s">
        <v>1175</v>
      </c>
      <c r="C905" s="656">
        <v>117</v>
      </c>
      <c r="D905" s="656">
        <v>107431.621027746</v>
      </c>
      <c r="E905" s="657">
        <v>19072.960477683398</v>
      </c>
      <c r="F905" s="658">
        <v>4.3748021979584104</v>
      </c>
      <c r="G905" s="659">
        <v>0.77656086108825595</v>
      </c>
    </row>
    <row r="906" spans="1:7" x14ac:dyDescent="0.25">
      <c r="A906" s="11" t="s">
        <v>1187</v>
      </c>
      <c r="B906" s="11" t="s">
        <v>1188</v>
      </c>
      <c r="C906" s="660">
        <v>94</v>
      </c>
      <c r="D906" s="660">
        <v>95530.373468036603</v>
      </c>
      <c r="E906" s="661">
        <v>19527.455285318501</v>
      </c>
      <c r="F906" s="662">
        <v>3.89016272696675</v>
      </c>
      <c r="G906" s="663">
        <v>0.79897878398260802</v>
      </c>
    </row>
    <row r="907" spans="1:7" x14ac:dyDescent="0.25">
      <c r="A907" s="6" t="s">
        <v>1193</v>
      </c>
      <c r="B907" s="6" t="s">
        <v>1194</v>
      </c>
      <c r="C907" s="656">
        <v>35</v>
      </c>
      <c r="D907" s="656">
        <v>79936.370430698298</v>
      </c>
      <c r="E907" s="657">
        <v>17225.459229891199</v>
      </c>
      <c r="F907" s="658">
        <v>3.2551478392634499</v>
      </c>
      <c r="G907" s="659">
        <v>0.69648036788397105</v>
      </c>
    </row>
    <row r="908" spans="1:7" x14ac:dyDescent="0.25">
      <c r="A908" s="11" t="s">
        <v>1189</v>
      </c>
      <c r="B908" s="11" t="s">
        <v>1190</v>
      </c>
      <c r="C908" s="660">
        <v>58</v>
      </c>
      <c r="D908" s="660">
        <v>76119.281824262202</v>
      </c>
      <c r="E908" s="661">
        <v>20089.485373810399</v>
      </c>
      <c r="F908" s="662">
        <v>3.0997093616021498</v>
      </c>
      <c r="G908" s="663">
        <v>0.81529469568290802</v>
      </c>
    </row>
    <row r="909" spans="1:7" x14ac:dyDescent="0.25">
      <c r="A909" s="6" t="s">
        <v>996</v>
      </c>
      <c r="B909" s="6" t="s">
        <v>997</v>
      </c>
      <c r="C909" s="656">
        <v>1</v>
      </c>
      <c r="D909" s="656">
        <v>7317.0643531071601</v>
      </c>
      <c r="E909" s="657">
        <v>7796.9535970305697</v>
      </c>
      <c r="F909" s="658">
        <v>100</v>
      </c>
      <c r="G909" s="659" t="e">
        <v>#NUM!</v>
      </c>
    </row>
    <row r="910" spans="1:7" x14ac:dyDescent="0.25">
      <c r="A910" s="11" t="s">
        <v>6293</v>
      </c>
      <c r="B910" s="11" t="s">
        <v>6294</v>
      </c>
      <c r="C910" s="660">
        <v>2986</v>
      </c>
      <c r="D910" s="660">
        <v>2455690.9356468902</v>
      </c>
      <c r="E910" s="661">
        <v>7796.9535970306297</v>
      </c>
      <c r="F910" s="662">
        <v>99.702921616449999</v>
      </c>
      <c r="G910" s="663">
        <v>0.31656225221478701</v>
      </c>
    </row>
    <row r="911" spans="1:7" x14ac:dyDescent="0.25">
      <c r="A911" s="6" t="s">
        <v>6293</v>
      </c>
      <c r="B911" s="6" t="s">
        <v>6295</v>
      </c>
      <c r="C911" s="656">
        <v>2987</v>
      </c>
      <c r="D911" s="656">
        <v>2463008</v>
      </c>
      <c r="E911" s="657">
        <v>0</v>
      </c>
      <c r="F911" s="658">
        <v>100</v>
      </c>
      <c r="G911" s="659">
        <v>0</v>
      </c>
    </row>
    <row r="912" spans="1:7" x14ac:dyDescent="0.25">
      <c r="A912" s="3353" t="s">
        <v>220</v>
      </c>
      <c r="B912" s="3354"/>
      <c r="C912" s="3354"/>
      <c r="D912" s="3354"/>
      <c r="E912" s="3354"/>
      <c r="F912" s="3354"/>
      <c r="G912" s="3354"/>
    </row>
    <row r="913" spans="1:7" x14ac:dyDescent="0.25">
      <c r="A913" s="11" t="s">
        <v>1204</v>
      </c>
      <c r="B913" s="11" t="s">
        <v>1205</v>
      </c>
      <c r="C913" s="668">
        <v>550</v>
      </c>
      <c r="D913" s="668">
        <v>934955.85681747994</v>
      </c>
      <c r="E913" s="669">
        <v>48785.891428542403</v>
      </c>
      <c r="F913" s="670">
        <v>37.959919611202203</v>
      </c>
      <c r="G913" s="671">
        <v>1.9807443349166101</v>
      </c>
    </row>
    <row r="914" spans="1:7" x14ac:dyDescent="0.25">
      <c r="A914" s="6" t="s">
        <v>1202</v>
      </c>
      <c r="B914" s="6" t="s">
        <v>1203</v>
      </c>
      <c r="C914" s="664">
        <v>654</v>
      </c>
      <c r="D914" s="664">
        <v>632860.83151645097</v>
      </c>
      <c r="E914" s="665">
        <v>38299.748842826601</v>
      </c>
      <c r="F914" s="666">
        <v>25.694631585299401</v>
      </c>
      <c r="G914" s="667">
        <v>1.5549989623592999</v>
      </c>
    </row>
    <row r="915" spans="1:7" x14ac:dyDescent="0.25">
      <c r="A915" s="11" t="s">
        <v>1200</v>
      </c>
      <c r="B915" s="11" t="s">
        <v>1201</v>
      </c>
      <c r="C915" s="668">
        <v>469</v>
      </c>
      <c r="D915" s="668">
        <v>260348.21861502499</v>
      </c>
      <c r="E915" s="669">
        <v>28647.499973539099</v>
      </c>
      <c r="F915" s="670">
        <v>10.5703358907086</v>
      </c>
      <c r="G915" s="671">
        <v>1.16311030957022</v>
      </c>
    </row>
    <row r="916" spans="1:7" x14ac:dyDescent="0.25">
      <c r="A916" s="6" t="s">
        <v>1198</v>
      </c>
      <c r="B916" s="6" t="s">
        <v>1199</v>
      </c>
      <c r="C916" s="664">
        <v>268</v>
      </c>
      <c r="D916" s="664">
        <v>175544.761795114</v>
      </c>
      <c r="E916" s="665">
        <v>32060.367230212101</v>
      </c>
      <c r="F916" s="666">
        <v>7.1272509790919996</v>
      </c>
      <c r="G916" s="667">
        <v>1.3016753185621801</v>
      </c>
    </row>
    <row r="917" spans="1:7" x14ac:dyDescent="0.25">
      <c r="A917" s="11" t="s">
        <v>1196</v>
      </c>
      <c r="B917" s="11" t="s">
        <v>1197</v>
      </c>
      <c r="C917" s="668">
        <v>460</v>
      </c>
      <c r="D917" s="668">
        <v>163418.668508278</v>
      </c>
      <c r="E917" s="669">
        <v>20426.729694123002</v>
      </c>
      <c r="F917" s="670">
        <v>6.6349223595001803</v>
      </c>
      <c r="G917" s="671">
        <v>0.82934077737964795</v>
      </c>
    </row>
    <row r="918" spans="1:7" x14ac:dyDescent="0.25">
      <c r="A918" s="6" t="s">
        <v>1183</v>
      </c>
      <c r="B918" s="6" t="s">
        <v>1195</v>
      </c>
      <c r="C918" s="664">
        <v>537</v>
      </c>
      <c r="D918" s="664">
        <v>156046.54604248999</v>
      </c>
      <c r="E918" s="665">
        <v>19827.732349875499</v>
      </c>
      <c r="F918" s="666">
        <v>6.3356085746571003</v>
      </c>
      <c r="G918" s="667">
        <v>0.80502102915927898</v>
      </c>
    </row>
    <row r="919" spans="1:7" x14ac:dyDescent="0.25">
      <c r="A919" s="11" t="s">
        <v>1206</v>
      </c>
      <c r="B919" s="11" t="s">
        <v>1207</v>
      </c>
      <c r="C919" s="668">
        <v>46</v>
      </c>
      <c r="D919" s="668">
        <v>119739.462195228</v>
      </c>
      <c r="E919" s="669">
        <v>22373.314904431401</v>
      </c>
      <c r="F919" s="670">
        <v>4.86151332822417</v>
      </c>
      <c r="G919" s="671">
        <v>0.90837361894201996</v>
      </c>
    </row>
    <row r="920" spans="1:7" x14ac:dyDescent="0.25">
      <c r="A920" s="6" t="s">
        <v>1208</v>
      </c>
      <c r="B920" s="6" t="s">
        <v>1209</v>
      </c>
      <c r="C920" s="664">
        <v>3</v>
      </c>
      <c r="D920" s="664">
        <v>20093.654509933702</v>
      </c>
      <c r="E920" s="665">
        <v>9673.5756204137997</v>
      </c>
      <c r="F920" s="666">
        <v>0.81581767131627903</v>
      </c>
      <c r="G920" s="667">
        <v>0.392754535121843</v>
      </c>
    </row>
    <row r="921" spans="1:7" x14ac:dyDescent="0.25">
      <c r="A921" s="11" t="s">
        <v>6293</v>
      </c>
      <c r="B921" s="11" t="s">
        <v>6294</v>
      </c>
      <c r="C921" s="668">
        <v>2987</v>
      </c>
      <c r="D921" s="668">
        <v>2463008</v>
      </c>
      <c r="E921" s="669">
        <v>5.1192494927695302E-9</v>
      </c>
      <c r="F921" s="670">
        <v>100</v>
      </c>
      <c r="G921" s="671">
        <v>9.5873031797334296E-14</v>
      </c>
    </row>
    <row r="922" spans="1:7" x14ac:dyDescent="0.25">
      <c r="A922" s="6" t="s">
        <v>6293</v>
      </c>
      <c r="B922" s="6" t="s">
        <v>6295</v>
      </c>
      <c r="C922" s="664">
        <v>2987</v>
      </c>
      <c r="D922" s="664">
        <v>2463008</v>
      </c>
      <c r="E922" s="665">
        <v>0</v>
      </c>
      <c r="F922" s="666">
        <v>100</v>
      </c>
      <c r="G922" s="667">
        <v>0</v>
      </c>
    </row>
    <row r="923" spans="1:7" x14ac:dyDescent="0.25">
      <c r="A923" s="3353" t="s">
        <v>224</v>
      </c>
      <c r="B923" s="3354"/>
      <c r="C923" s="3354"/>
      <c r="D923" s="3354"/>
      <c r="E923" s="3354"/>
      <c r="F923" s="3354"/>
      <c r="G923" s="3354"/>
    </row>
    <row r="924" spans="1:7" x14ac:dyDescent="0.25">
      <c r="A924" s="11" t="s">
        <v>1202</v>
      </c>
      <c r="B924" s="11" t="s">
        <v>1203</v>
      </c>
      <c r="C924" s="676">
        <v>510</v>
      </c>
      <c r="D924" s="676">
        <v>729389.692723935</v>
      </c>
      <c r="E924" s="677">
        <v>48531.891245436003</v>
      </c>
      <c r="F924" s="678">
        <v>29.613776842135099</v>
      </c>
      <c r="G924" s="679">
        <v>1.9704317341005899</v>
      </c>
    </row>
    <row r="925" spans="1:7" x14ac:dyDescent="0.25">
      <c r="A925" s="6" t="s">
        <v>1200</v>
      </c>
      <c r="B925" s="6" t="s">
        <v>1201</v>
      </c>
      <c r="C925" s="672">
        <v>707</v>
      </c>
      <c r="D925" s="672">
        <v>719098.560878127</v>
      </c>
      <c r="E925" s="673">
        <v>54483.338143248002</v>
      </c>
      <c r="F925" s="674">
        <v>29.195949054088601</v>
      </c>
      <c r="G925" s="675">
        <v>2.21206500925891</v>
      </c>
    </row>
    <row r="926" spans="1:7" x14ac:dyDescent="0.25">
      <c r="A926" s="11" t="s">
        <v>1196</v>
      </c>
      <c r="B926" s="11" t="s">
        <v>1197</v>
      </c>
      <c r="C926" s="676">
        <v>563</v>
      </c>
      <c r="D926" s="676">
        <v>326646.49721024401</v>
      </c>
      <c r="E926" s="677">
        <v>24174.617266333</v>
      </c>
      <c r="F926" s="678">
        <v>13.2620964775691</v>
      </c>
      <c r="G926" s="679">
        <v>0.98150786624862896</v>
      </c>
    </row>
    <row r="927" spans="1:7" x14ac:dyDescent="0.25">
      <c r="A927" s="6" t="s">
        <v>1198</v>
      </c>
      <c r="B927" s="6" t="s">
        <v>1199</v>
      </c>
      <c r="C927" s="672">
        <v>427</v>
      </c>
      <c r="D927" s="672">
        <v>272272.79357789399</v>
      </c>
      <c r="E927" s="673">
        <v>29221.3763476801</v>
      </c>
      <c r="F927" s="674">
        <v>11.054482712922299</v>
      </c>
      <c r="G927" s="675">
        <v>1.1864101272785199</v>
      </c>
    </row>
    <row r="928" spans="1:7" x14ac:dyDescent="0.25">
      <c r="A928" s="11" t="s">
        <v>1183</v>
      </c>
      <c r="B928" s="11" t="s">
        <v>1195</v>
      </c>
      <c r="C928" s="676">
        <v>709</v>
      </c>
      <c r="D928" s="676">
        <v>218046.895589441</v>
      </c>
      <c r="E928" s="677">
        <v>22871.620522539299</v>
      </c>
      <c r="F928" s="678">
        <v>8.8528699699489994</v>
      </c>
      <c r="G928" s="679">
        <v>0.92860520641992395</v>
      </c>
    </row>
    <row r="929" spans="1:7" x14ac:dyDescent="0.25">
      <c r="A929" s="6" t="s">
        <v>1204</v>
      </c>
      <c r="B929" s="6" t="s">
        <v>1205</v>
      </c>
      <c r="C929" s="672">
        <v>68</v>
      </c>
      <c r="D929" s="672">
        <v>177459.905510424</v>
      </c>
      <c r="E929" s="673">
        <v>31314.9629185144</v>
      </c>
      <c r="F929" s="674">
        <v>7.2050072720195999</v>
      </c>
      <c r="G929" s="675">
        <v>1.27141133599706</v>
      </c>
    </row>
    <row r="930" spans="1:7" x14ac:dyDescent="0.25">
      <c r="A930" s="11" t="s">
        <v>1206</v>
      </c>
      <c r="B930" s="11" t="s">
        <v>1207</v>
      </c>
      <c r="C930" s="676">
        <v>3</v>
      </c>
      <c r="D930" s="676">
        <v>20093.654509933702</v>
      </c>
      <c r="E930" s="677">
        <v>9673.5756204137997</v>
      </c>
      <c r="F930" s="678">
        <v>0.81581767131627903</v>
      </c>
      <c r="G930" s="679">
        <v>0.392754535121843</v>
      </c>
    </row>
    <row r="931" spans="1:7" x14ac:dyDescent="0.25">
      <c r="A931" s="6" t="s">
        <v>6293</v>
      </c>
      <c r="B931" s="6" t="s">
        <v>6294</v>
      </c>
      <c r="C931" s="672">
        <v>2987</v>
      </c>
      <c r="D931" s="672">
        <v>2463008</v>
      </c>
      <c r="E931" s="673">
        <v>4.9719020035263702E-9</v>
      </c>
      <c r="F931" s="674">
        <v>100</v>
      </c>
      <c r="G931" s="675">
        <v>1.78031750616652E-14</v>
      </c>
    </row>
    <row r="932" spans="1:7" x14ac:dyDescent="0.25">
      <c r="A932" s="11" t="s">
        <v>6293</v>
      </c>
      <c r="B932" s="11" t="s">
        <v>6295</v>
      </c>
      <c r="C932" s="676">
        <v>2987</v>
      </c>
      <c r="D932" s="676">
        <v>2463008</v>
      </c>
      <c r="E932" s="677">
        <v>0</v>
      </c>
      <c r="F932" s="678">
        <v>100</v>
      </c>
      <c r="G932" s="679">
        <v>0</v>
      </c>
    </row>
    <row r="933" spans="1:7" x14ac:dyDescent="0.25">
      <c r="A933" s="3353" t="s">
        <v>281</v>
      </c>
      <c r="B933" s="3354"/>
      <c r="C933" s="3354"/>
      <c r="D933" s="3354"/>
      <c r="E933" s="3354"/>
      <c r="F933" s="3354"/>
      <c r="G933" s="3354"/>
    </row>
    <row r="934" spans="1:7" x14ac:dyDescent="0.25">
      <c r="A934" s="11" t="s">
        <v>1202</v>
      </c>
      <c r="B934" s="11" t="s">
        <v>1203</v>
      </c>
      <c r="C934" s="684">
        <v>401</v>
      </c>
      <c r="D934" s="684">
        <v>827020.82578403002</v>
      </c>
      <c r="E934" s="685">
        <v>32505.077939877101</v>
      </c>
      <c r="F934" s="686">
        <v>33.5776751753965</v>
      </c>
      <c r="G934" s="687">
        <v>1.31973091195307</v>
      </c>
    </row>
    <row r="935" spans="1:7" x14ac:dyDescent="0.25">
      <c r="A935" s="6" t="s">
        <v>1200</v>
      </c>
      <c r="B935" s="6" t="s">
        <v>1201</v>
      </c>
      <c r="C935" s="680">
        <v>380</v>
      </c>
      <c r="D935" s="680">
        <v>541768.83680426597</v>
      </c>
      <c r="E935" s="681">
        <v>42392.299471086502</v>
      </c>
      <c r="F935" s="682">
        <v>21.9962272475065</v>
      </c>
      <c r="G935" s="683">
        <v>1.72115963371156</v>
      </c>
    </row>
    <row r="936" spans="1:7" x14ac:dyDescent="0.25">
      <c r="A936" s="11" t="s">
        <v>1198</v>
      </c>
      <c r="B936" s="11" t="s">
        <v>1199</v>
      </c>
      <c r="C936" s="684">
        <v>499</v>
      </c>
      <c r="D936" s="684">
        <v>293976.17164044402</v>
      </c>
      <c r="E936" s="685">
        <v>29930.789387591602</v>
      </c>
      <c r="F936" s="686">
        <v>11.935656386030599</v>
      </c>
      <c r="G936" s="687">
        <v>1.21521283680734</v>
      </c>
    </row>
    <row r="937" spans="1:7" x14ac:dyDescent="0.25">
      <c r="A937" s="6" t="s">
        <v>3109</v>
      </c>
      <c r="B937" s="6" t="s">
        <v>3110</v>
      </c>
      <c r="C937" s="680">
        <v>341</v>
      </c>
      <c r="D937" s="680">
        <v>236275.25440604601</v>
      </c>
      <c r="E937" s="681">
        <v>22565.019805967</v>
      </c>
      <c r="F937" s="682">
        <v>9.5929552159816804</v>
      </c>
      <c r="G937" s="683">
        <v>0.91615698389802203</v>
      </c>
    </row>
    <row r="938" spans="1:7" x14ac:dyDescent="0.25">
      <c r="A938" s="11" t="s">
        <v>3054</v>
      </c>
      <c r="B938" s="11" t="s">
        <v>3104</v>
      </c>
      <c r="C938" s="684">
        <v>796</v>
      </c>
      <c r="D938" s="684">
        <v>223694.04574138799</v>
      </c>
      <c r="E938" s="685">
        <v>22736.4228221351</v>
      </c>
      <c r="F938" s="686">
        <v>9.0821485655502396</v>
      </c>
      <c r="G938" s="687">
        <v>0.92311607685135599</v>
      </c>
    </row>
    <row r="939" spans="1:7" x14ac:dyDescent="0.25">
      <c r="A939" s="6" t="s">
        <v>3107</v>
      </c>
      <c r="B939" s="6" t="s">
        <v>3108</v>
      </c>
      <c r="C939" s="680">
        <v>390</v>
      </c>
      <c r="D939" s="680">
        <v>173071.40066017001</v>
      </c>
      <c r="E939" s="681">
        <v>17678.470492695102</v>
      </c>
      <c r="F939" s="682">
        <v>7.0268306339309401</v>
      </c>
      <c r="G939" s="683">
        <v>0.71775936142696894</v>
      </c>
    </row>
    <row r="940" spans="1:7" x14ac:dyDescent="0.25">
      <c r="A940" s="11" t="s">
        <v>3111</v>
      </c>
      <c r="B940" s="11" t="s">
        <v>3112</v>
      </c>
      <c r="C940" s="684">
        <v>38</v>
      </c>
      <c r="D940" s="684">
        <v>116990.392295447</v>
      </c>
      <c r="E940" s="685">
        <v>16816.468170589698</v>
      </c>
      <c r="F940" s="686">
        <v>4.7498989973011598</v>
      </c>
      <c r="G940" s="687">
        <v>0.68276141086791697</v>
      </c>
    </row>
    <row r="941" spans="1:7" x14ac:dyDescent="0.25">
      <c r="A941" s="6" t="s">
        <v>3105</v>
      </c>
      <c r="B941" s="6" t="s">
        <v>3106</v>
      </c>
      <c r="C941" s="680">
        <v>142</v>
      </c>
      <c r="D941" s="680">
        <v>50211.072668210203</v>
      </c>
      <c r="E941" s="681">
        <v>10891.6992410649</v>
      </c>
      <c r="F941" s="682">
        <v>2.0386077783023899</v>
      </c>
      <c r="G941" s="683">
        <v>0.44221128153318501</v>
      </c>
    </row>
    <row r="942" spans="1:7" x14ac:dyDescent="0.25">
      <c r="A942" s="11" t="s">
        <v>6293</v>
      </c>
      <c r="B942" s="11" t="s">
        <v>6294</v>
      </c>
      <c r="C942" s="684">
        <v>2987</v>
      </c>
      <c r="D942" s="684">
        <v>2463008</v>
      </c>
      <c r="E942" s="685">
        <v>1.6439134277486901E-8</v>
      </c>
      <c r="F942" s="686">
        <v>100</v>
      </c>
      <c r="G942" s="687">
        <v>9.6422451950283797E-14</v>
      </c>
    </row>
    <row r="943" spans="1:7" x14ac:dyDescent="0.25">
      <c r="A943" s="6" t="s">
        <v>6293</v>
      </c>
      <c r="B943" s="6" t="s">
        <v>6295</v>
      </c>
      <c r="C943" s="680">
        <v>2987</v>
      </c>
      <c r="D943" s="680">
        <v>2463008</v>
      </c>
      <c r="E943" s="681">
        <v>0</v>
      </c>
      <c r="F943" s="682">
        <v>100</v>
      </c>
      <c r="G943" s="683">
        <v>0</v>
      </c>
    </row>
    <row r="944" spans="1:7" x14ac:dyDescent="0.25">
      <c r="A944" s="3353" t="s">
        <v>285</v>
      </c>
      <c r="B944" s="3354"/>
      <c r="C944" s="3354"/>
      <c r="D944" s="3354"/>
      <c r="E944" s="3354"/>
      <c r="F944" s="3354"/>
      <c r="G944" s="3354"/>
    </row>
    <row r="945" spans="1:7" x14ac:dyDescent="0.25">
      <c r="A945" s="11" t="s">
        <v>1177</v>
      </c>
      <c r="B945" s="11" t="s">
        <v>1178</v>
      </c>
      <c r="C945" s="692">
        <v>825</v>
      </c>
      <c r="D945" s="692">
        <v>497923.93615866301</v>
      </c>
      <c r="E945" s="693">
        <v>29925.0987299601</v>
      </c>
      <c r="F945" s="694">
        <v>20.2763274861173</v>
      </c>
      <c r="G945" s="695">
        <v>1.2262637050532399</v>
      </c>
    </row>
    <row r="946" spans="1:7" x14ac:dyDescent="0.25">
      <c r="A946" s="6" t="s">
        <v>1181</v>
      </c>
      <c r="B946" s="6" t="s">
        <v>1182</v>
      </c>
      <c r="C946" s="688">
        <v>479</v>
      </c>
      <c r="D946" s="688">
        <v>455131.93705473701</v>
      </c>
      <c r="E946" s="689">
        <v>28419.616302825099</v>
      </c>
      <c r="F946" s="690">
        <v>18.533762960477901</v>
      </c>
      <c r="G946" s="691">
        <v>1.1500042016815599</v>
      </c>
    </row>
    <row r="947" spans="1:7" x14ac:dyDescent="0.25">
      <c r="A947" s="11" t="s">
        <v>1179</v>
      </c>
      <c r="B947" s="11" t="s">
        <v>1180</v>
      </c>
      <c r="C947" s="692">
        <v>694</v>
      </c>
      <c r="D947" s="692">
        <v>415371.46590779501</v>
      </c>
      <c r="E947" s="693">
        <v>32548.928922187701</v>
      </c>
      <c r="F947" s="694">
        <v>16.9146475184743</v>
      </c>
      <c r="G947" s="695">
        <v>1.32935483879289</v>
      </c>
    </row>
    <row r="948" spans="1:7" x14ac:dyDescent="0.25">
      <c r="A948" s="6" t="s">
        <v>992</v>
      </c>
      <c r="B948" s="6" t="s">
        <v>1176</v>
      </c>
      <c r="C948" s="688">
        <v>395</v>
      </c>
      <c r="D948" s="688">
        <v>278694.34615394397</v>
      </c>
      <c r="E948" s="689">
        <v>28995.0758362946</v>
      </c>
      <c r="F948" s="690">
        <v>11.348917818134501</v>
      </c>
      <c r="G948" s="691">
        <v>1.18118584315807</v>
      </c>
    </row>
    <row r="949" spans="1:7" x14ac:dyDescent="0.25">
      <c r="A949" s="11" t="s">
        <v>1183</v>
      </c>
      <c r="B949" s="11" t="s">
        <v>1184</v>
      </c>
      <c r="C949" s="692">
        <v>249</v>
      </c>
      <c r="D949" s="692">
        <v>272019.95376343402</v>
      </c>
      <c r="E949" s="693">
        <v>35279.793836957899</v>
      </c>
      <c r="F949" s="694">
        <v>11.0771249677548</v>
      </c>
      <c r="G949" s="695">
        <v>1.4290729195659799</v>
      </c>
    </row>
    <row r="950" spans="1:7" x14ac:dyDescent="0.25">
      <c r="A950" s="6" t="s">
        <v>1185</v>
      </c>
      <c r="B950" s="6" t="s">
        <v>1186</v>
      </c>
      <c r="C950" s="688">
        <v>147</v>
      </c>
      <c r="D950" s="688">
        <v>179403.31922322101</v>
      </c>
      <c r="E950" s="689">
        <v>22699.006355134101</v>
      </c>
      <c r="F950" s="690">
        <v>7.3056147505777798</v>
      </c>
      <c r="G950" s="691">
        <v>0.92795845748013805</v>
      </c>
    </row>
    <row r="951" spans="1:7" x14ac:dyDescent="0.25">
      <c r="A951" s="11" t="s">
        <v>1187</v>
      </c>
      <c r="B951" s="11" t="s">
        <v>1188</v>
      </c>
      <c r="C951" s="692">
        <v>84</v>
      </c>
      <c r="D951" s="692">
        <v>160540.019886258</v>
      </c>
      <c r="E951" s="693">
        <v>32556.349357293599</v>
      </c>
      <c r="F951" s="694">
        <v>6.5374684393648002</v>
      </c>
      <c r="G951" s="695">
        <v>1.3262728332140701</v>
      </c>
    </row>
    <row r="952" spans="1:7" x14ac:dyDescent="0.25">
      <c r="A952" s="6" t="s">
        <v>1189</v>
      </c>
      <c r="B952" s="6" t="s">
        <v>1190</v>
      </c>
      <c r="C952" s="688">
        <v>34</v>
      </c>
      <c r="D952" s="688">
        <v>78387.305675490396</v>
      </c>
      <c r="E952" s="689">
        <v>15343.0751258047</v>
      </c>
      <c r="F952" s="690">
        <v>3.19206723198011</v>
      </c>
      <c r="G952" s="691">
        <v>0.623183809047272</v>
      </c>
    </row>
    <row r="953" spans="1:7" x14ac:dyDescent="0.25">
      <c r="A953" s="11" t="s">
        <v>1191</v>
      </c>
      <c r="B953" s="11" t="s">
        <v>1192</v>
      </c>
      <c r="C953" s="692">
        <v>25</v>
      </c>
      <c r="D953" s="692">
        <v>53427.751105444702</v>
      </c>
      <c r="E953" s="693">
        <v>16150.0992062145</v>
      </c>
      <c r="F953" s="694">
        <v>2.17567081955981</v>
      </c>
      <c r="G953" s="695">
        <v>0.658980406745864</v>
      </c>
    </row>
    <row r="954" spans="1:7" x14ac:dyDescent="0.25">
      <c r="A954" s="6" t="s">
        <v>1174</v>
      </c>
      <c r="B954" s="6" t="s">
        <v>1175</v>
      </c>
      <c r="C954" s="688">
        <v>38</v>
      </c>
      <c r="D954" s="688">
        <v>47168.403609111199</v>
      </c>
      <c r="E954" s="689">
        <v>9628.4435390376402</v>
      </c>
      <c r="F954" s="690">
        <v>1.9207793181305099</v>
      </c>
      <c r="G954" s="691">
        <v>0.391691141175594</v>
      </c>
    </row>
    <row r="955" spans="1:7" x14ac:dyDescent="0.25">
      <c r="A955" s="11" t="s">
        <v>1193</v>
      </c>
      <c r="B955" s="11" t="s">
        <v>1194</v>
      </c>
      <c r="C955" s="692">
        <v>16</v>
      </c>
      <c r="D955" s="692">
        <v>17622.497108797201</v>
      </c>
      <c r="E955" s="693">
        <v>9490.8564655187402</v>
      </c>
      <c r="F955" s="694">
        <v>0.71761868942823603</v>
      </c>
      <c r="G955" s="695">
        <v>0.38638736256912498</v>
      </c>
    </row>
    <row r="956" spans="1:7" x14ac:dyDescent="0.25">
      <c r="A956" s="6" t="s">
        <v>996</v>
      </c>
      <c r="B956" s="6" t="s">
        <v>997</v>
      </c>
      <c r="C956" s="688">
        <v>1</v>
      </c>
      <c r="D956" s="688">
        <v>7317.0643531071601</v>
      </c>
      <c r="E956" s="689">
        <v>7796.9535970305697</v>
      </c>
      <c r="F956" s="690">
        <v>100</v>
      </c>
      <c r="G956" s="691" t="e">
        <v>#NUM!</v>
      </c>
    </row>
    <row r="957" spans="1:7" x14ac:dyDescent="0.25">
      <c r="A957" s="11" t="s">
        <v>6293</v>
      </c>
      <c r="B957" s="11" t="s">
        <v>6294</v>
      </c>
      <c r="C957" s="692">
        <v>2986</v>
      </c>
      <c r="D957" s="692">
        <v>2455690.9356468902</v>
      </c>
      <c r="E957" s="693">
        <v>7796.9535970299703</v>
      </c>
      <c r="F957" s="694">
        <v>99.702921616449999</v>
      </c>
      <c r="G957" s="695">
        <v>0.316562252214803</v>
      </c>
    </row>
    <row r="958" spans="1:7" x14ac:dyDescent="0.25">
      <c r="A958" s="6" t="s">
        <v>6293</v>
      </c>
      <c r="B958" s="6" t="s">
        <v>6295</v>
      </c>
      <c r="C958" s="688">
        <v>2987</v>
      </c>
      <c r="D958" s="688">
        <v>2463008</v>
      </c>
      <c r="E958" s="689">
        <v>0</v>
      </c>
      <c r="F958" s="690">
        <v>100</v>
      </c>
      <c r="G958" s="691">
        <v>0</v>
      </c>
    </row>
    <row r="959" spans="1:7" x14ac:dyDescent="0.25">
      <c r="A959" s="3353" t="s">
        <v>289</v>
      </c>
      <c r="B959" s="3354"/>
      <c r="C959" s="3354"/>
      <c r="D959" s="3354"/>
      <c r="E959" s="3354"/>
      <c r="F959" s="3354"/>
      <c r="G959" s="3354"/>
    </row>
    <row r="960" spans="1:7" x14ac:dyDescent="0.25">
      <c r="A960" s="11" t="s">
        <v>1204</v>
      </c>
      <c r="B960" s="11" t="s">
        <v>1205</v>
      </c>
      <c r="C960" s="700">
        <v>513</v>
      </c>
      <c r="D960" s="700">
        <v>984969.49742330005</v>
      </c>
      <c r="E960" s="701">
        <v>36004.4053236252</v>
      </c>
      <c r="F960" s="702">
        <v>39.990511497457597</v>
      </c>
      <c r="G960" s="703">
        <v>1.4618062679303201</v>
      </c>
    </row>
    <row r="961" spans="1:7" x14ac:dyDescent="0.25">
      <c r="A961" s="6" t="s">
        <v>1202</v>
      </c>
      <c r="B961" s="6" t="s">
        <v>1203</v>
      </c>
      <c r="C961" s="696">
        <v>545</v>
      </c>
      <c r="D961" s="696">
        <v>584486.32766134397</v>
      </c>
      <c r="E961" s="697">
        <v>36877.452058765499</v>
      </c>
      <c r="F961" s="698">
        <v>23.730589899072399</v>
      </c>
      <c r="G961" s="699">
        <v>1.4972526300672</v>
      </c>
    </row>
    <row r="962" spans="1:7" x14ac:dyDescent="0.25">
      <c r="A962" s="11" t="s">
        <v>1200</v>
      </c>
      <c r="B962" s="11" t="s">
        <v>1201</v>
      </c>
      <c r="C962" s="700">
        <v>404</v>
      </c>
      <c r="D962" s="700">
        <v>268534.217850279</v>
      </c>
      <c r="E962" s="701">
        <v>27276.497132861401</v>
      </c>
      <c r="F962" s="702">
        <v>10.902693692033401</v>
      </c>
      <c r="G962" s="703">
        <v>1.10744655043189</v>
      </c>
    </row>
    <row r="963" spans="1:7" x14ac:dyDescent="0.25">
      <c r="A963" s="6" t="s">
        <v>1196</v>
      </c>
      <c r="B963" s="6" t="s">
        <v>1197</v>
      </c>
      <c r="C963" s="696">
        <v>504</v>
      </c>
      <c r="D963" s="696">
        <v>196009.003519091</v>
      </c>
      <c r="E963" s="697">
        <v>25530.2921819925</v>
      </c>
      <c r="F963" s="698">
        <v>7.95811477344333</v>
      </c>
      <c r="G963" s="699">
        <v>1.0365492999613699</v>
      </c>
    </row>
    <row r="964" spans="1:7" x14ac:dyDescent="0.25">
      <c r="A964" s="11" t="s">
        <v>1198</v>
      </c>
      <c r="B964" s="11" t="s">
        <v>1199</v>
      </c>
      <c r="C964" s="700">
        <v>294</v>
      </c>
      <c r="D964" s="700">
        <v>184370.02282761</v>
      </c>
      <c r="E964" s="701">
        <v>26706.431106935099</v>
      </c>
      <c r="F964" s="702">
        <v>7.4855632960838898</v>
      </c>
      <c r="G964" s="703">
        <v>1.0843014357620899</v>
      </c>
    </row>
    <row r="965" spans="1:7" x14ac:dyDescent="0.25">
      <c r="A965" s="6" t="s">
        <v>1183</v>
      </c>
      <c r="B965" s="6" t="s">
        <v>1195</v>
      </c>
      <c r="C965" s="696">
        <v>709</v>
      </c>
      <c r="D965" s="696">
        <v>183567.05282528501</v>
      </c>
      <c r="E965" s="697">
        <v>21164.074884427198</v>
      </c>
      <c r="F965" s="698">
        <v>7.4529621026519202</v>
      </c>
      <c r="G965" s="699">
        <v>0.859277553480426</v>
      </c>
    </row>
    <row r="966" spans="1:7" x14ac:dyDescent="0.25">
      <c r="A966" s="11" t="s">
        <v>1206</v>
      </c>
      <c r="B966" s="11" t="s">
        <v>1207</v>
      </c>
      <c r="C966" s="700">
        <v>18</v>
      </c>
      <c r="D966" s="700">
        <v>61071.877893091099</v>
      </c>
      <c r="E966" s="701">
        <v>17774.3920203661</v>
      </c>
      <c r="F966" s="702">
        <v>2.4795647392574902</v>
      </c>
      <c r="G966" s="703">
        <v>0.72165384847983005</v>
      </c>
    </row>
    <row r="967" spans="1:7" x14ac:dyDescent="0.25">
      <c r="A967" s="6" t="s">
        <v>6293</v>
      </c>
      <c r="B967" s="6" t="s">
        <v>6294</v>
      </c>
      <c r="C967" s="696">
        <v>2987</v>
      </c>
      <c r="D967" s="696">
        <v>2463008</v>
      </c>
      <c r="E967" s="697">
        <v>1.6319987989342899E-8</v>
      </c>
      <c r="F967" s="698">
        <v>100</v>
      </c>
      <c r="G967" s="699">
        <v>2.5177491625509499E-14</v>
      </c>
    </row>
    <row r="968" spans="1:7" x14ac:dyDescent="0.25">
      <c r="A968" s="11" t="s">
        <v>6293</v>
      </c>
      <c r="B968" s="11" t="s">
        <v>6295</v>
      </c>
      <c r="C968" s="700">
        <v>2987</v>
      </c>
      <c r="D968" s="700">
        <v>2463008</v>
      </c>
      <c r="E968" s="701">
        <v>0</v>
      </c>
      <c r="F968" s="702">
        <v>100</v>
      </c>
      <c r="G968" s="703">
        <v>0</v>
      </c>
    </row>
    <row r="969" spans="1:7" x14ac:dyDescent="0.25">
      <c r="A969" s="3353" t="s">
        <v>293</v>
      </c>
      <c r="B969" s="3354"/>
      <c r="C969" s="3354"/>
      <c r="D969" s="3354"/>
      <c r="E969" s="3354"/>
      <c r="F969" s="3354"/>
      <c r="G969" s="3354"/>
    </row>
    <row r="970" spans="1:7" x14ac:dyDescent="0.25">
      <c r="A970" s="11" t="s">
        <v>1202</v>
      </c>
      <c r="B970" s="11" t="s">
        <v>1203</v>
      </c>
      <c r="C970" s="708">
        <v>442</v>
      </c>
      <c r="D970" s="708">
        <v>806714.98525725806</v>
      </c>
      <c r="E970" s="709">
        <v>36862.474207891202</v>
      </c>
      <c r="F970" s="710">
        <v>32.753242590249698</v>
      </c>
      <c r="G970" s="711">
        <v>1.49664451791839</v>
      </c>
    </row>
    <row r="971" spans="1:7" x14ac:dyDescent="0.25">
      <c r="A971" s="6" t="s">
        <v>1200</v>
      </c>
      <c r="B971" s="6" t="s">
        <v>1201</v>
      </c>
      <c r="C971" s="704">
        <v>613</v>
      </c>
      <c r="D971" s="704">
        <v>655034.88824692601</v>
      </c>
      <c r="E971" s="705">
        <v>28661.198045313398</v>
      </c>
      <c r="F971" s="706">
        <v>26.594915170674501</v>
      </c>
      <c r="G971" s="707">
        <v>1.16366646171322</v>
      </c>
    </row>
    <row r="972" spans="1:7" x14ac:dyDescent="0.25">
      <c r="A972" s="11" t="s">
        <v>1196</v>
      </c>
      <c r="B972" s="11" t="s">
        <v>1197</v>
      </c>
      <c r="C972" s="708">
        <v>662</v>
      </c>
      <c r="D972" s="708">
        <v>345063.211555216</v>
      </c>
      <c r="E972" s="709">
        <v>14376.910511701401</v>
      </c>
      <c r="F972" s="710">
        <v>14.0098291014571</v>
      </c>
      <c r="G972" s="711">
        <v>0.58371351257086301</v>
      </c>
    </row>
    <row r="973" spans="1:7" x14ac:dyDescent="0.25">
      <c r="A973" s="6" t="s">
        <v>1198</v>
      </c>
      <c r="B973" s="6" t="s">
        <v>1199</v>
      </c>
      <c r="C973" s="704">
        <v>399</v>
      </c>
      <c r="D973" s="704">
        <v>305009.71787338599</v>
      </c>
      <c r="E973" s="705">
        <v>22209.560215538499</v>
      </c>
      <c r="F973" s="706">
        <v>12.3836267634285</v>
      </c>
      <c r="G973" s="707">
        <v>0.90172505389907498</v>
      </c>
    </row>
    <row r="974" spans="1:7" x14ac:dyDescent="0.25">
      <c r="A974" s="11" t="s">
        <v>1183</v>
      </c>
      <c r="B974" s="11" t="s">
        <v>1195</v>
      </c>
      <c r="C974" s="708">
        <v>844</v>
      </c>
      <c r="D974" s="708">
        <v>264861.68226754799</v>
      </c>
      <c r="E974" s="709">
        <v>24693.0356673764</v>
      </c>
      <c r="F974" s="710">
        <v>10.753585951306199</v>
      </c>
      <c r="G974" s="711">
        <v>1.0025560480264899</v>
      </c>
    </row>
    <row r="975" spans="1:7" x14ac:dyDescent="0.25">
      <c r="A975" s="6" t="s">
        <v>1204</v>
      </c>
      <c r="B975" s="6" t="s">
        <v>1205</v>
      </c>
      <c r="C975" s="704">
        <v>26</v>
      </c>
      <c r="D975" s="704">
        <v>80960.613484735397</v>
      </c>
      <c r="E975" s="705">
        <v>20232.550459305599</v>
      </c>
      <c r="F975" s="706">
        <v>3.2870625464771299</v>
      </c>
      <c r="G975" s="707">
        <v>0.82145695260858298</v>
      </c>
    </row>
    <row r="976" spans="1:7" x14ac:dyDescent="0.25">
      <c r="A976" s="11" t="s">
        <v>1206</v>
      </c>
      <c r="B976" s="11" t="s">
        <v>1207</v>
      </c>
      <c r="C976" s="708">
        <v>1</v>
      </c>
      <c r="D976" s="708">
        <v>5362.90131493229</v>
      </c>
      <c r="E976" s="709">
        <v>5464.5567276116599</v>
      </c>
      <c r="F976" s="710">
        <v>0.217737876406909</v>
      </c>
      <c r="G976" s="711">
        <v>0.22186516355658101</v>
      </c>
    </row>
    <row r="977" spans="1:7" x14ac:dyDescent="0.25">
      <c r="A977" s="6" t="s">
        <v>6293</v>
      </c>
      <c r="B977" s="6" t="s">
        <v>6294</v>
      </c>
      <c r="C977" s="704">
        <v>2987</v>
      </c>
      <c r="D977" s="704">
        <v>2463008</v>
      </c>
      <c r="E977" s="705">
        <v>8.2815174763409299E-9</v>
      </c>
      <c r="F977" s="706">
        <v>100</v>
      </c>
      <c r="G977" s="707">
        <v>2.0557335828564899E-14</v>
      </c>
    </row>
    <row r="978" spans="1:7" x14ac:dyDescent="0.25">
      <c r="A978" s="11" t="s">
        <v>6293</v>
      </c>
      <c r="B978" s="11" t="s">
        <v>6295</v>
      </c>
      <c r="C978" s="708">
        <v>2987</v>
      </c>
      <c r="D978" s="708">
        <v>2463008</v>
      </c>
      <c r="E978" s="709">
        <v>0</v>
      </c>
      <c r="F978" s="710">
        <v>100</v>
      </c>
      <c r="G978" s="711">
        <v>0</v>
      </c>
    </row>
    <row r="979" spans="1:7" x14ac:dyDescent="0.25">
      <c r="A979" s="3353" t="s">
        <v>218</v>
      </c>
      <c r="B979" s="3354"/>
      <c r="C979" s="3354"/>
      <c r="D979" s="3354"/>
      <c r="E979" s="3354"/>
      <c r="F979" s="3354"/>
      <c r="G979" s="3354"/>
    </row>
    <row r="980" spans="1:7" x14ac:dyDescent="0.25">
      <c r="A980" s="11" t="s">
        <v>996</v>
      </c>
      <c r="B980" s="11" t="s">
        <v>997</v>
      </c>
      <c r="C980" s="716">
        <v>1</v>
      </c>
      <c r="D980" s="716">
        <v>7317.0643531071601</v>
      </c>
      <c r="E980" s="717">
        <v>7796.9535970305697</v>
      </c>
      <c r="F980" s="718">
        <v>100</v>
      </c>
      <c r="G980" s="719" t="e">
        <v>#NUM!</v>
      </c>
    </row>
    <row r="981" spans="1:7" x14ac:dyDescent="0.25">
      <c r="A981" s="6" t="s">
        <v>6293</v>
      </c>
      <c r="B981" s="6" t="s">
        <v>6294</v>
      </c>
      <c r="C981" s="712">
        <v>2791</v>
      </c>
      <c r="D981" s="712">
        <v>2455690.9356468902</v>
      </c>
      <c r="E981" s="713">
        <v>7796.9535970300503</v>
      </c>
      <c r="F981" s="714">
        <v>99.702921616449999</v>
      </c>
      <c r="G981" s="715">
        <v>0.31656225221478701</v>
      </c>
    </row>
    <row r="982" spans="1:7" x14ac:dyDescent="0.25">
      <c r="A982" s="11" t="s">
        <v>6293</v>
      </c>
      <c r="B982" s="11" t="s">
        <v>6295</v>
      </c>
      <c r="C982" s="716">
        <v>2792</v>
      </c>
      <c r="D982" s="716">
        <v>2463008</v>
      </c>
      <c r="E982" s="717">
        <v>0</v>
      </c>
      <c r="F982" s="718">
        <v>100</v>
      </c>
      <c r="G982" s="719">
        <v>0</v>
      </c>
    </row>
    <row r="983" spans="1:7" x14ac:dyDescent="0.25">
      <c r="A983" s="3353" t="s">
        <v>222</v>
      </c>
      <c r="B983" s="3354"/>
      <c r="C983" s="3354"/>
      <c r="D983" s="3354"/>
      <c r="E983" s="3354"/>
      <c r="F983" s="3354"/>
      <c r="G983" s="3354"/>
    </row>
    <row r="984" spans="1:7" x14ac:dyDescent="0.25">
      <c r="A984" s="11" t="s">
        <v>6293</v>
      </c>
      <c r="B984" s="11" t="s">
        <v>6294</v>
      </c>
      <c r="C984" s="724">
        <v>2790</v>
      </c>
      <c r="D984" s="724">
        <v>2463008</v>
      </c>
      <c r="E984" s="725">
        <v>1.6154007995379901E-8</v>
      </c>
      <c r="F984" s="726">
        <v>100</v>
      </c>
      <c r="G984" s="727">
        <v>1.01233138679652E-13</v>
      </c>
    </row>
    <row r="985" spans="1:7" x14ac:dyDescent="0.25">
      <c r="A985" s="6" t="s">
        <v>6293</v>
      </c>
      <c r="B985" s="6" t="s">
        <v>6295</v>
      </c>
      <c r="C985" s="720">
        <v>2790</v>
      </c>
      <c r="D985" s="720">
        <v>2463008</v>
      </c>
      <c r="E985" s="721">
        <v>0</v>
      </c>
      <c r="F985" s="722">
        <v>100</v>
      </c>
      <c r="G985" s="723">
        <v>0</v>
      </c>
    </row>
    <row r="986" spans="1:7" x14ac:dyDescent="0.25">
      <c r="A986" s="3353" t="s">
        <v>226</v>
      </c>
      <c r="B986" s="3354"/>
      <c r="C986" s="3354"/>
      <c r="D986" s="3354"/>
      <c r="E986" s="3354"/>
      <c r="F986" s="3354"/>
      <c r="G986" s="3354"/>
    </row>
    <row r="987" spans="1:7" x14ac:dyDescent="0.25">
      <c r="A987" s="11" t="s">
        <v>6293</v>
      </c>
      <c r="B987" s="11" t="s">
        <v>6294</v>
      </c>
      <c r="C987" s="732">
        <v>2790</v>
      </c>
      <c r="D987" s="732">
        <v>2463008</v>
      </c>
      <c r="E987" s="733">
        <v>1.6154007995379901E-8</v>
      </c>
      <c r="F987" s="734">
        <v>100</v>
      </c>
      <c r="G987" s="735">
        <v>1.01233138679652E-13</v>
      </c>
    </row>
    <row r="988" spans="1:7" x14ac:dyDescent="0.25">
      <c r="A988" s="6" t="s">
        <v>6293</v>
      </c>
      <c r="B988" s="6" t="s">
        <v>6295</v>
      </c>
      <c r="C988" s="728">
        <v>2790</v>
      </c>
      <c r="D988" s="728">
        <v>2463008</v>
      </c>
      <c r="E988" s="729">
        <v>0</v>
      </c>
      <c r="F988" s="730">
        <v>100</v>
      </c>
      <c r="G988" s="731">
        <v>0</v>
      </c>
    </row>
    <row r="989" spans="1:7" x14ac:dyDescent="0.25">
      <c r="A989" s="3353" t="s">
        <v>283</v>
      </c>
      <c r="B989" s="3354"/>
      <c r="C989" s="3354"/>
      <c r="D989" s="3354"/>
      <c r="E989" s="3354"/>
      <c r="F989" s="3354"/>
      <c r="G989" s="3354"/>
    </row>
    <row r="990" spans="1:7" x14ac:dyDescent="0.25">
      <c r="A990" s="11" t="s">
        <v>6293</v>
      </c>
      <c r="B990" s="11" t="s">
        <v>6294</v>
      </c>
      <c r="C990" s="740">
        <v>2879</v>
      </c>
      <c r="D990" s="740">
        <v>2463008</v>
      </c>
      <c r="E990" s="741">
        <v>1.6154007995379901E-8</v>
      </c>
      <c r="F990" s="742">
        <v>100</v>
      </c>
      <c r="G990" s="743">
        <v>1.01233138679652E-13</v>
      </c>
    </row>
    <row r="991" spans="1:7" x14ac:dyDescent="0.25">
      <c r="A991" s="6" t="s">
        <v>6293</v>
      </c>
      <c r="B991" s="6" t="s">
        <v>6295</v>
      </c>
      <c r="C991" s="736">
        <v>2879</v>
      </c>
      <c r="D991" s="736">
        <v>2463008</v>
      </c>
      <c r="E991" s="737">
        <v>0</v>
      </c>
      <c r="F991" s="738">
        <v>100</v>
      </c>
      <c r="G991" s="739">
        <v>0</v>
      </c>
    </row>
    <row r="992" spans="1:7" x14ac:dyDescent="0.25">
      <c r="A992" s="3353" t="s">
        <v>287</v>
      </c>
      <c r="B992" s="3354"/>
      <c r="C992" s="3354"/>
      <c r="D992" s="3354"/>
      <c r="E992" s="3354"/>
      <c r="F992" s="3354"/>
      <c r="G992" s="3354"/>
    </row>
    <row r="993" spans="1:7" x14ac:dyDescent="0.25">
      <c r="A993" s="11" t="s">
        <v>996</v>
      </c>
      <c r="B993" s="11" t="s">
        <v>997</v>
      </c>
      <c r="C993" s="748">
        <v>1</v>
      </c>
      <c r="D993" s="748">
        <v>7317.0643531071601</v>
      </c>
      <c r="E993" s="749">
        <v>7796.9535970305697</v>
      </c>
      <c r="F993" s="750">
        <v>100</v>
      </c>
      <c r="G993" s="751" t="e">
        <v>#NUM!</v>
      </c>
    </row>
    <row r="994" spans="1:7" x14ac:dyDescent="0.25">
      <c r="A994" s="6" t="s">
        <v>6293</v>
      </c>
      <c r="B994" s="6" t="s">
        <v>6294</v>
      </c>
      <c r="C994" s="744">
        <v>2878</v>
      </c>
      <c r="D994" s="744">
        <v>2455690.9356468902</v>
      </c>
      <c r="E994" s="745">
        <v>7796.9535970301504</v>
      </c>
      <c r="F994" s="746">
        <v>99.702921616449999</v>
      </c>
      <c r="G994" s="747">
        <v>0.31656225221478901</v>
      </c>
    </row>
    <row r="995" spans="1:7" x14ac:dyDescent="0.25">
      <c r="A995" s="11" t="s">
        <v>6293</v>
      </c>
      <c r="B995" s="11" t="s">
        <v>6295</v>
      </c>
      <c r="C995" s="748">
        <v>2879</v>
      </c>
      <c r="D995" s="748">
        <v>2463008</v>
      </c>
      <c r="E995" s="749">
        <v>0</v>
      </c>
      <c r="F995" s="750">
        <v>100</v>
      </c>
      <c r="G995" s="751">
        <v>0</v>
      </c>
    </row>
    <row r="996" spans="1:7" x14ac:dyDescent="0.25">
      <c r="A996" s="3353" t="s">
        <v>291</v>
      </c>
      <c r="B996" s="3354"/>
      <c r="C996" s="3354"/>
      <c r="D996" s="3354"/>
      <c r="E996" s="3354"/>
      <c r="F996" s="3354"/>
      <c r="G996" s="3354"/>
    </row>
    <row r="997" spans="1:7" x14ac:dyDescent="0.25">
      <c r="A997" s="11" t="s">
        <v>6293</v>
      </c>
      <c r="B997" s="11" t="s">
        <v>6294</v>
      </c>
      <c r="C997" s="756">
        <v>2879</v>
      </c>
      <c r="D997" s="756">
        <v>2463008</v>
      </c>
      <c r="E997" s="757">
        <v>1.6154007995379901E-8</v>
      </c>
      <c r="F997" s="758">
        <v>100</v>
      </c>
      <c r="G997" s="759">
        <v>1.01233138679652E-13</v>
      </c>
    </row>
    <row r="998" spans="1:7" x14ac:dyDescent="0.25">
      <c r="A998" s="6" t="s">
        <v>6293</v>
      </c>
      <c r="B998" s="6" t="s">
        <v>6295</v>
      </c>
      <c r="C998" s="752">
        <v>2879</v>
      </c>
      <c r="D998" s="752">
        <v>2463008</v>
      </c>
      <c r="E998" s="753">
        <v>0</v>
      </c>
      <c r="F998" s="754">
        <v>100</v>
      </c>
      <c r="G998" s="755">
        <v>0</v>
      </c>
    </row>
    <row r="999" spans="1:7" x14ac:dyDescent="0.25">
      <c r="A999" s="3353" t="s">
        <v>295</v>
      </c>
      <c r="B999" s="3354"/>
      <c r="C999" s="3354"/>
      <c r="D999" s="3354"/>
      <c r="E999" s="3354"/>
      <c r="F999" s="3354"/>
      <c r="G999" s="3354"/>
    </row>
    <row r="1000" spans="1:7" x14ac:dyDescent="0.25">
      <c r="A1000" s="11" t="s">
        <v>6293</v>
      </c>
      <c r="B1000" s="11" t="s">
        <v>6294</v>
      </c>
      <c r="C1000" s="764">
        <v>2879</v>
      </c>
      <c r="D1000" s="764">
        <v>2463008</v>
      </c>
      <c r="E1000" s="765">
        <v>1.6154007995379901E-8</v>
      </c>
      <c r="F1000" s="766">
        <v>100</v>
      </c>
      <c r="G1000" s="767">
        <v>1.01233138679652E-13</v>
      </c>
    </row>
    <row r="1001" spans="1:7" x14ac:dyDescent="0.25">
      <c r="A1001" s="6" t="s">
        <v>6293</v>
      </c>
      <c r="B1001" s="6" t="s">
        <v>6295</v>
      </c>
      <c r="C1001" s="760">
        <v>2879</v>
      </c>
      <c r="D1001" s="760">
        <v>2463008</v>
      </c>
      <c r="E1001" s="761">
        <v>0</v>
      </c>
      <c r="F1001" s="762">
        <v>100</v>
      </c>
      <c r="G1001" s="763">
        <v>0</v>
      </c>
    </row>
    <row r="1002" spans="1:7" x14ac:dyDescent="0.25">
      <c r="A1002" s="3353" t="s">
        <v>618</v>
      </c>
      <c r="B1002" s="3354"/>
      <c r="C1002" s="3354"/>
      <c r="D1002" s="3354"/>
      <c r="E1002" s="3354"/>
      <c r="F1002" s="3354"/>
      <c r="G1002" s="3354"/>
    </row>
    <row r="1003" spans="1:7" x14ac:dyDescent="0.25">
      <c r="A1003" s="11" t="s">
        <v>986</v>
      </c>
      <c r="B1003" s="11" t="s">
        <v>1062</v>
      </c>
      <c r="C1003" s="772">
        <v>2966</v>
      </c>
      <c r="D1003" s="772">
        <v>2453485.1253320202</v>
      </c>
      <c r="E1003" s="773">
        <v>5040.4558132029697</v>
      </c>
      <c r="F1003" s="774">
        <v>99.613364038282299</v>
      </c>
      <c r="G1003" s="775">
        <v>0.20464634354453101</v>
      </c>
    </row>
    <row r="1004" spans="1:7" x14ac:dyDescent="0.25">
      <c r="A1004" s="6" t="s">
        <v>984</v>
      </c>
      <c r="B1004" s="6" t="s">
        <v>1061</v>
      </c>
      <c r="C1004" s="768">
        <v>21</v>
      </c>
      <c r="D1004" s="768">
        <v>9522.8746679844207</v>
      </c>
      <c r="E1004" s="769">
        <v>5040.4558132092998</v>
      </c>
      <c r="F1004" s="770">
        <v>0.38663596171772102</v>
      </c>
      <c r="G1004" s="771">
        <v>0.20464634354453101</v>
      </c>
    </row>
    <row r="1005" spans="1:7" x14ac:dyDescent="0.25">
      <c r="A1005" s="11" t="s">
        <v>6293</v>
      </c>
      <c r="B1005" s="11" t="s">
        <v>6294</v>
      </c>
      <c r="C1005" s="772">
        <v>2987</v>
      </c>
      <c r="D1005" s="772">
        <v>2463008</v>
      </c>
      <c r="E1005" s="773">
        <v>4.2423032092438703E-8</v>
      </c>
      <c r="F1005" s="774">
        <v>100</v>
      </c>
      <c r="G1005" s="775">
        <v>9.5873031797334296E-14</v>
      </c>
    </row>
    <row r="1006" spans="1:7" x14ac:dyDescent="0.25">
      <c r="A1006" s="6" t="s">
        <v>6293</v>
      </c>
      <c r="B1006" s="6" t="s">
        <v>6295</v>
      </c>
      <c r="C1006" s="768">
        <v>2987</v>
      </c>
      <c r="D1006" s="768">
        <v>2463008</v>
      </c>
      <c r="E1006" s="769">
        <v>0</v>
      </c>
      <c r="F1006" s="770">
        <v>100</v>
      </c>
      <c r="G1006" s="771">
        <v>0</v>
      </c>
    </row>
    <row r="1007" spans="1:7" x14ac:dyDescent="0.25">
      <c r="A1007" s="3353" t="s">
        <v>887</v>
      </c>
      <c r="B1007" s="3354"/>
      <c r="C1007" s="3354"/>
      <c r="D1007" s="3354"/>
      <c r="E1007" s="3354"/>
      <c r="F1007" s="3354"/>
      <c r="G1007" s="3354"/>
    </row>
    <row r="1008" spans="1:7" x14ac:dyDescent="0.25">
      <c r="A1008" s="11" t="s">
        <v>984</v>
      </c>
      <c r="B1008" s="11" t="s">
        <v>1063</v>
      </c>
      <c r="C1008" s="780">
        <v>2570</v>
      </c>
      <c r="D1008" s="780">
        <v>2187591.3420625799</v>
      </c>
      <c r="E1008" s="781">
        <v>27331.1998056128</v>
      </c>
      <c r="F1008" s="782">
        <v>89.107712585226196</v>
      </c>
      <c r="G1008" s="783">
        <v>1.1724944984482399</v>
      </c>
    </row>
    <row r="1009" spans="1:7" x14ac:dyDescent="0.25">
      <c r="A1009" s="6" t="s">
        <v>992</v>
      </c>
      <c r="B1009" s="6" t="s">
        <v>1046</v>
      </c>
      <c r="C1009" s="776">
        <v>189</v>
      </c>
      <c r="D1009" s="776">
        <v>113289.731894639</v>
      </c>
      <c r="E1009" s="777">
        <v>21431.2067270443</v>
      </c>
      <c r="F1009" s="778">
        <v>4.6146593627522403</v>
      </c>
      <c r="G1009" s="779">
        <v>0.87302129145624596</v>
      </c>
    </row>
    <row r="1010" spans="1:7" x14ac:dyDescent="0.25">
      <c r="A1010" s="11" t="s">
        <v>986</v>
      </c>
      <c r="B1010" s="11" t="s">
        <v>1064</v>
      </c>
      <c r="C1010" s="780">
        <v>146</v>
      </c>
      <c r="D1010" s="780">
        <v>87691.1816046944</v>
      </c>
      <c r="E1010" s="781">
        <v>20004.3679295357</v>
      </c>
      <c r="F1010" s="782">
        <v>3.57194712579295</v>
      </c>
      <c r="G1010" s="783">
        <v>0.81382230625228702</v>
      </c>
    </row>
    <row r="1011" spans="1:7" x14ac:dyDescent="0.25">
      <c r="A1011" s="6" t="s">
        <v>988</v>
      </c>
      <c r="B1011" s="6" t="s">
        <v>6146</v>
      </c>
      <c r="C1011" s="776">
        <v>51</v>
      </c>
      <c r="D1011" s="776">
        <v>54668.027454866802</v>
      </c>
      <c r="E1011" s="777">
        <v>15787.989375936901</v>
      </c>
      <c r="F1011" s="778">
        <v>2.2268066180297499</v>
      </c>
      <c r="G1011" s="779">
        <v>0.64107775783397503</v>
      </c>
    </row>
    <row r="1012" spans="1:7" x14ac:dyDescent="0.25">
      <c r="A1012" s="11" t="s">
        <v>990</v>
      </c>
      <c r="B1012" s="11" t="s">
        <v>6147</v>
      </c>
      <c r="C1012" s="780">
        <v>17</v>
      </c>
      <c r="D1012" s="780">
        <v>11756.348133728099</v>
      </c>
      <c r="E1012" s="781">
        <v>7557.2230808220102</v>
      </c>
      <c r="F1012" s="782">
        <v>0.47887430819889398</v>
      </c>
      <c r="G1012" s="783">
        <v>0.30764554950642597</v>
      </c>
    </row>
    <row r="1013" spans="1:7" x14ac:dyDescent="0.25">
      <c r="A1013" s="6" t="s">
        <v>982</v>
      </c>
      <c r="B1013" s="6" t="s">
        <v>983</v>
      </c>
      <c r="C1013" s="776">
        <v>14</v>
      </c>
      <c r="D1013" s="776">
        <v>8011.3688494954304</v>
      </c>
      <c r="E1013" s="777">
        <v>5679.4540325687103</v>
      </c>
      <c r="F1013" s="778">
        <v>100</v>
      </c>
      <c r="G1013" s="779">
        <v>0</v>
      </c>
    </row>
    <row r="1014" spans="1:7" x14ac:dyDescent="0.25">
      <c r="A1014" s="11" t="s">
        <v>6293</v>
      </c>
      <c r="B1014" s="11" t="s">
        <v>6294</v>
      </c>
      <c r="C1014" s="780">
        <v>2973</v>
      </c>
      <c r="D1014" s="780">
        <v>2454996.6311505102</v>
      </c>
      <c r="E1014" s="781">
        <v>5679.4540325669705</v>
      </c>
      <c r="F1014" s="782">
        <v>99.674732325291004</v>
      </c>
      <c r="G1014" s="783">
        <v>0.23059015774892699</v>
      </c>
    </row>
    <row r="1015" spans="1:7" x14ac:dyDescent="0.25">
      <c r="A1015" s="6" t="s">
        <v>6293</v>
      </c>
      <c r="B1015" s="6" t="s">
        <v>6295</v>
      </c>
      <c r="C1015" s="776">
        <v>2987</v>
      </c>
      <c r="D1015" s="776">
        <v>2463008</v>
      </c>
      <c r="E1015" s="777">
        <v>0</v>
      </c>
      <c r="F1015" s="778">
        <v>100</v>
      </c>
      <c r="G1015" s="779">
        <v>0</v>
      </c>
    </row>
    <row r="1016" spans="1:7" x14ac:dyDescent="0.25">
      <c r="A1016" s="3353" t="s">
        <v>620</v>
      </c>
      <c r="B1016" s="3354"/>
      <c r="C1016" s="3354"/>
      <c r="D1016" s="3354"/>
      <c r="E1016" s="3354"/>
      <c r="F1016" s="3354"/>
      <c r="G1016" s="3354"/>
    </row>
    <row r="1017" spans="1:7" x14ac:dyDescent="0.25">
      <c r="A1017" s="11" t="s">
        <v>984</v>
      </c>
      <c r="B1017" s="11" t="s">
        <v>345</v>
      </c>
      <c r="C1017" s="788">
        <v>2987</v>
      </c>
      <c r="D1017" s="788">
        <v>2463008</v>
      </c>
      <c r="E1017" s="789">
        <v>4.30277076979038E-8</v>
      </c>
      <c r="F1017" s="790">
        <v>100</v>
      </c>
      <c r="G1017" s="791">
        <v>0</v>
      </c>
    </row>
    <row r="1018" spans="1:7" x14ac:dyDescent="0.25">
      <c r="A1018" s="6" t="s">
        <v>6293</v>
      </c>
      <c r="B1018" s="6" t="s">
        <v>6294</v>
      </c>
      <c r="C1018" s="784">
        <v>2987</v>
      </c>
      <c r="D1018" s="784">
        <v>2463008</v>
      </c>
      <c r="E1018" s="785">
        <v>4.30277076979038E-8</v>
      </c>
      <c r="F1018" s="786">
        <v>100</v>
      </c>
      <c r="G1018" s="787">
        <v>0</v>
      </c>
    </row>
    <row r="1019" spans="1:7" x14ac:dyDescent="0.25">
      <c r="A1019" s="11" t="s">
        <v>6293</v>
      </c>
      <c r="B1019" s="11" t="s">
        <v>6295</v>
      </c>
      <c r="C1019" s="788">
        <v>2987</v>
      </c>
      <c r="D1019" s="788">
        <v>2463008</v>
      </c>
      <c r="E1019" s="789">
        <v>0</v>
      </c>
      <c r="F1019" s="790">
        <v>100</v>
      </c>
      <c r="G1019" s="791">
        <v>0</v>
      </c>
    </row>
    <row r="1020" spans="1:7" x14ac:dyDescent="0.25">
      <c r="A1020" s="3353" t="s">
        <v>268</v>
      </c>
      <c r="B1020" s="3354"/>
      <c r="C1020" s="3354"/>
      <c r="D1020" s="3354"/>
      <c r="E1020" s="3354"/>
      <c r="F1020" s="3354"/>
      <c r="G1020" s="3354"/>
    </row>
    <row r="1021" spans="1:7" x14ac:dyDescent="0.25">
      <c r="A1021" s="11" t="s">
        <v>984</v>
      </c>
      <c r="B1021" s="11"/>
      <c r="C1021" s="796">
        <v>2345</v>
      </c>
      <c r="D1021" s="796">
        <v>1524827.3180857101</v>
      </c>
      <c r="E1021" s="797">
        <v>3.60494385246575</v>
      </c>
      <c r="F1021" s="798">
        <v>61.909150034661401</v>
      </c>
      <c r="G1021" s="799">
        <v>1.4636346562326799E-4</v>
      </c>
    </row>
    <row r="1022" spans="1:7" x14ac:dyDescent="0.25">
      <c r="A1022" s="6" t="s">
        <v>986</v>
      </c>
      <c r="B1022" s="6"/>
      <c r="C1022" s="792">
        <v>610</v>
      </c>
      <c r="D1022" s="792">
        <v>905792.28978835</v>
      </c>
      <c r="E1022" s="793">
        <v>10243.452438792099</v>
      </c>
      <c r="F1022" s="794">
        <v>36.775856586269697</v>
      </c>
      <c r="G1022" s="795">
        <v>0.415891967821168</v>
      </c>
    </row>
    <row r="1023" spans="1:7" x14ac:dyDescent="0.25">
      <c r="A1023" s="11" t="s">
        <v>1005</v>
      </c>
      <c r="B1023" s="11"/>
      <c r="C1023" s="796">
        <v>32</v>
      </c>
      <c r="D1023" s="796">
        <v>32388.392125936702</v>
      </c>
      <c r="E1023" s="797">
        <v>10243.357839073</v>
      </c>
      <c r="F1023" s="798">
        <v>1.3149933790688699</v>
      </c>
      <c r="G1023" s="799">
        <v>0.41588812700052002</v>
      </c>
    </row>
    <row r="1024" spans="1:7" x14ac:dyDescent="0.25">
      <c r="A1024" s="6" t="s">
        <v>6293</v>
      </c>
      <c r="B1024" s="6" t="s">
        <v>6294</v>
      </c>
      <c r="C1024" s="792">
        <v>2987</v>
      </c>
      <c r="D1024" s="792">
        <v>2463008</v>
      </c>
      <c r="E1024" s="793">
        <v>2.8691257270479601E-8</v>
      </c>
      <c r="F1024" s="794">
        <v>100</v>
      </c>
      <c r="G1024" s="795">
        <v>4.5967600348963099E-14</v>
      </c>
    </row>
    <row r="1025" spans="1:7" x14ac:dyDescent="0.25">
      <c r="A1025" s="11" t="s">
        <v>6293</v>
      </c>
      <c r="B1025" s="11" t="s">
        <v>6295</v>
      </c>
      <c r="C1025" s="796">
        <v>2987</v>
      </c>
      <c r="D1025" s="796">
        <v>2463008</v>
      </c>
      <c r="E1025" s="797">
        <v>0</v>
      </c>
      <c r="F1025" s="798">
        <v>100</v>
      </c>
      <c r="G1025" s="799">
        <v>0</v>
      </c>
    </row>
    <row r="1026" spans="1:7" x14ac:dyDescent="0.25">
      <c r="A1026" s="3355" t="s">
        <v>977</v>
      </c>
      <c r="B1026" s="3354"/>
      <c r="C1026" s="3354"/>
      <c r="D1026" s="3354"/>
      <c r="E1026" s="3354"/>
      <c r="F1026" s="3354"/>
      <c r="G1026" s="3354"/>
    </row>
    <row r="1027" spans="1:7" x14ac:dyDescent="0.25">
      <c r="A1027" s="3353" t="s">
        <v>273</v>
      </c>
      <c r="B1027" s="3354"/>
      <c r="C1027" s="3354"/>
      <c r="D1027" s="3354"/>
      <c r="E1027" s="3354"/>
      <c r="F1027" s="3354"/>
      <c r="G1027" s="3354"/>
    </row>
    <row r="1028" spans="1:7" x14ac:dyDescent="0.25">
      <c r="A1028" s="11" t="s">
        <v>6293</v>
      </c>
      <c r="B1028" s="11" t="s">
        <v>6294</v>
      </c>
      <c r="C1028" s="804">
        <v>4871</v>
      </c>
      <c r="D1028" s="804">
        <v>6828065</v>
      </c>
      <c r="E1028" s="805">
        <v>1.70059749855536E-8</v>
      </c>
      <c r="F1028" s="806">
        <v>100</v>
      </c>
      <c r="G1028" s="807">
        <v>1.02786679142825E-14</v>
      </c>
    </row>
    <row r="1029" spans="1:7" x14ac:dyDescent="0.25">
      <c r="A1029" s="6" t="s">
        <v>6293</v>
      </c>
      <c r="B1029" s="6" t="s">
        <v>6295</v>
      </c>
      <c r="C1029" s="800">
        <v>4871</v>
      </c>
      <c r="D1029" s="800">
        <v>6828065</v>
      </c>
      <c r="E1029" s="801">
        <v>0</v>
      </c>
      <c r="F1029" s="802">
        <v>100</v>
      </c>
      <c r="G1029" s="803">
        <v>0</v>
      </c>
    </row>
    <row r="1030" spans="1:7" x14ac:dyDescent="0.25">
      <c r="A1030" s="3353" t="s">
        <v>496</v>
      </c>
      <c r="B1030" s="3354"/>
      <c r="C1030" s="3354"/>
      <c r="D1030" s="3354"/>
      <c r="E1030" s="3354"/>
      <c r="F1030" s="3354"/>
      <c r="G1030" s="3354"/>
    </row>
    <row r="1031" spans="1:7" x14ac:dyDescent="0.25">
      <c r="A1031" s="11" t="s">
        <v>984</v>
      </c>
      <c r="B1031" s="11"/>
      <c r="C1031" s="812">
        <v>2987</v>
      </c>
      <c r="D1031" s="812">
        <v>2632541.61025621</v>
      </c>
      <c r="E1031" s="813">
        <v>44667.129451397799</v>
      </c>
      <c r="F1031" s="814">
        <v>38.554723926269098</v>
      </c>
      <c r="G1031" s="815">
        <v>0.65416965789579795</v>
      </c>
    </row>
    <row r="1032" spans="1:7" x14ac:dyDescent="0.25">
      <c r="A1032" s="6" t="s">
        <v>986</v>
      </c>
      <c r="B1032" s="6"/>
      <c r="C1032" s="808">
        <v>2033</v>
      </c>
      <c r="D1032" s="808">
        <v>1985704.4161716599</v>
      </c>
      <c r="E1032" s="809">
        <v>40044.069061038201</v>
      </c>
      <c r="F1032" s="810">
        <v>29.081510152168399</v>
      </c>
      <c r="G1032" s="811">
        <v>0.58646291535071504</v>
      </c>
    </row>
    <row r="1033" spans="1:7" x14ac:dyDescent="0.25">
      <c r="A1033" s="11" t="s">
        <v>988</v>
      </c>
      <c r="B1033" s="11"/>
      <c r="C1033" s="812">
        <v>573</v>
      </c>
      <c r="D1033" s="812">
        <v>1187163.64987116</v>
      </c>
      <c r="E1033" s="813">
        <v>36808.954036313102</v>
      </c>
      <c r="F1033" s="814">
        <v>17.386531174954602</v>
      </c>
      <c r="G1033" s="815">
        <v>0.53908324007331698</v>
      </c>
    </row>
    <row r="1034" spans="1:7" x14ac:dyDescent="0.25">
      <c r="A1034" s="6" t="s">
        <v>990</v>
      </c>
      <c r="B1034" s="6"/>
      <c r="C1034" s="808">
        <v>311</v>
      </c>
      <c r="D1034" s="808">
        <v>686592.63353077404</v>
      </c>
      <c r="E1034" s="809">
        <v>35519.663502530697</v>
      </c>
      <c r="F1034" s="810">
        <v>10.055449582433299</v>
      </c>
      <c r="G1034" s="811">
        <v>0.52020101599105495</v>
      </c>
    </row>
    <row r="1035" spans="1:7" x14ac:dyDescent="0.25">
      <c r="A1035" s="11" t="s">
        <v>992</v>
      </c>
      <c r="B1035" s="11"/>
      <c r="C1035" s="812">
        <v>110</v>
      </c>
      <c r="D1035" s="812">
        <v>212936.37186192599</v>
      </c>
      <c r="E1035" s="813">
        <v>32468.405287522099</v>
      </c>
      <c r="F1035" s="814">
        <v>3.1185463504217599</v>
      </c>
      <c r="G1035" s="815">
        <v>0.475514004150837</v>
      </c>
    </row>
    <row r="1036" spans="1:7" x14ac:dyDescent="0.25">
      <c r="A1036" s="6" t="s">
        <v>994</v>
      </c>
      <c r="B1036" s="6"/>
      <c r="C1036" s="808">
        <v>39</v>
      </c>
      <c r="D1036" s="808">
        <v>68224.629524951306</v>
      </c>
      <c r="E1036" s="809">
        <v>13157.697008359701</v>
      </c>
      <c r="F1036" s="810">
        <v>0.999179555627418</v>
      </c>
      <c r="G1036" s="811">
        <v>0.19270023071484599</v>
      </c>
    </row>
    <row r="1037" spans="1:7" x14ac:dyDescent="0.25">
      <c r="A1037" s="11" t="s">
        <v>1003</v>
      </c>
      <c r="B1037" s="11"/>
      <c r="C1037" s="812">
        <v>15</v>
      </c>
      <c r="D1037" s="812">
        <v>43356.010404597997</v>
      </c>
      <c r="E1037" s="813">
        <v>11250.323938600101</v>
      </c>
      <c r="F1037" s="814">
        <v>0.63496774568780301</v>
      </c>
      <c r="G1037" s="815">
        <v>0.164765917409985</v>
      </c>
    </row>
    <row r="1038" spans="1:7" x14ac:dyDescent="0.25">
      <c r="A1038" s="6" t="s">
        <v>1013</v>
      </c>
      <c r="B1038" s="6"/>
      <c r="C1038" s="808">
        <v>6</v>
      </c>
      <c r="D1038" s="808">
        <v>6394.9666889472801</v>
      </c>
      <c r="E1038" s="809">
        <v>4332.3188538230197</v>
      </c>
      <c r="F1038" s="810">
        <v>9.3657085703596404E-2</v>
      </c>
      <c r="G1038" s="811">
        <v>6.3448705509145095E-2</v>
      </c>
    </row>
    <row r="1039" spans="1:7" x14ac:dyDescent="0.25">
      <c r="A1039" s="11" t="s">
        <v>1015</v>
      </c>
      <c r="B1039" s="11"/>
      <c r="C1039" s="812">
        <v>3</v>
      </c>
      <c r="D1039" s="812">
        <v>5150.71168978267</v>
      </c>
      <c r="E1039" s="813">
        <v>4166.09005475501</v>
      </c>
      <c r="F1039" s="814">
        <v>7.5434426734113796E-2</v>
      </c>
      <c r="G1039" s="815">
        <v>6.1014212002302198E-2</v>
      </c>
    </row>
    <row r="1040" spans="1:7" x14ac:dyDescent="0.25">
      <c r="A1040" s="6" t="s">
        <v>6293</v>
      </c>
      <c r="B1040" s="6" t="s">
        <v>6294</v>
      </c>
      <c r="C1040" s="808">
        <v>6077</v>
      </c>
      <c r="D1040" s="808">
        <v>6828065.0000000102</v>
      </c>
      <c r="E1040" s="809">
        <v>9.9082267766899596E-8</v>
      </c>
      <c r="F1040" s="810">
        <v>100</v>
      </c>
      <c r="G1040" s="811">
        <v>4.8211225975141899E-14</v>
      </c>
    </row>
    <row r="1041" spans="1:7" x14ac:dyDescent="0.25">
      <c r="A1041" s="11" t="s">
        <v>6293</v>
      </c>
      <c r="B1041" s="11" t="s">
        <v>6295</v>
      </c>
      <c r="C1041" s="812">
        <v>6077</v>
      </c>
      <c r="D1041" s="812">
        <v>6828065.0000000102</v>
      </c>
      <c r="E1041" s="813">
        <v>0</v>
      </c>
      <c r="F1041" s="814">
        <v>100</v>
      </c>
      <c r="G1041" s="815">
        <v>0</v>
      </c>
    </row>
    <row r="1042" spans="1:7" x14ac:dyDescent="0.25">
      <c r="A1042" s="3353" t="s">
        <v>494</v>
      </c>
      <c r="B1042" s="3354"/>
      <c r="C1042" s="3354"/>
      <c r="D1042" s="3354"/>
      <c r="E1042" s="3354"/>
      <c r="F1042" s="3354"/>
      <c r="G1042" s="3354"/>
    </row>
    <row r="1043" spans="1:7" x14ac:dyDescent="0.25">
      <c r="A1043" s="11" t="s">
        <v>6293</v>
      </c>
      <c r="B1043" s="11" t="s">
        <v>6294</v>
      </c>
      <c r="C1043" s="820">
        <v>6070</v>
      </c>
      <c r="D1043" s="820">
        <v>6828065</v>
      </c>
      <c r="E1043" s="821">
        <v>1.6984102339864801E-8</v>
      </c>
      <c r="F1043" s="822">
        <v>100</v>
      </c>
      <c r="G1043" s="823">
        <v>1.02786679142825E-14</v>
      </c>
    </row>
    <row r="1044" spans="1:7" x14ac:dyDescent="0.25">
      <c r="A1044" s="6" t="s">
        <v>6293</v>
      </c>
      <c r="B1044" s="6" t="s">
        <v>6295</v>
      </c>
      <c r="C1044" s="816">
        <v>6070</v>
      </c>
      <c r="D1044" s="816">
        <v>6828065</v>
      </c>
      <c r="E1044" s="817">
        <v>0</v>
      </c>
      <c r="F1044" s="818">
        <v>100</v>
      </c>
      <c r="G1044" s="819">
        <v>0</v>
      </c>
    </row>
    <row r="1045" spans="1:7" x14ac:dyDescent="0.25">
      <c r="A1045" s="3353" t="s">
        <v>555</v>
      </c>
      <c r="B1045" s="3354"/>
      <c r="C1045" s="3354"/>
      <c r="D1045" s="3354"/>
      <c r="E1045" s="3354"/>
      <c r="F1045" s="3354"/>
      <c r="G1045" s="3354"/>
    </row>
    <row r="1046" spans="1:7" x14ac:dyDescent="0.25">
      <c r="A1046" s="11" t="s">
        <v>1069</v>
      </c>
      <c r="B1046" s="11"/>
      <c r="C1046" s="828">
        <v>42</v>
      </c>
      <c r="D1046" s="828">
        <v>148978.44583029201</v>
      </c>
      <c r="E1046" s="829">
        <v>31737.250806292301</v>
      </c>
      <c r="F1046" s="830">
        <v>2.18815844500832</v>
      </c>
      <c r="G1046" s="831">
        <v>0.46588822098586702</v>
      </c>
    </row>
    <row r="1047" spans="1:7" x14ac:dyDescent="0.25">
      <c r="A1047" s="6" t="s">
        <v>1077</v>
      </c>
      <c r="B1047" s="6"/>
      <c r="C1047" s="824">
        <v>64</v>
      </c>
      <c r="D1047" s="824">
        <v>145388.28359777</v>
      </c>
      <c r="E1047" s="825">
        <v>31156.872129776999</v>
      </c>
      <c r="F1047" s="826">
        <v>2.13542703299593</v>
      </c>
      <c r="G1047" s="827">
        <v>0.457000765294027</v>
      </c>
    </row>
    <row r="1048" spans="1:7" x14ac:dyDescent="0.25">
      <c r="A1048" s="11" t="s">
        <v>6304</v>
      </c>
      <c r="B1048" s="11"/>
      <c r="C1048" s="828">
        <v>50</v>
      </c>
      <c r="D1048" s="828">
        <v>132405.87105816501</v>
      </c>
      <c r="E1048" s="829">
        <v>26842.418572985502</v>
      </c>
      <c r="F1048" s="830">
        <v>1.9447445790557101</v>
      </c>
      <c r="G1048" s="831">
        <v>0.39331916252266202</v>
      </c>
    </row>
    <row r="1049" spans="1:7" x14ac:dyDescent="0.25">
      <c r="A1049" s="6" t="s">
        <v>1103</v>
      </c>
      <c r="B1049" s="6"/>
      <c r="C1049" s="824">
        <v>150</v>
      </c>
      <c r="D1049" s="824">
        <v>131301.41318980401</v>
      </c>
      <c r="E1049" s="825">
        <v>22001.9992509361</v>
      </c>
      <c r="F1049" s="826">
        <v>1.92852257594419</v>
      </c>
      <c r="G1049" s="827">
        <v>0.32259606873293001</v>
      </c>
    </row>
    <row r="1050" spans="1:7" x14ac:dyDescent="0.25">
      <c r="A1050" s="11" t="s">
        <v>1083</v>
      </c>
      <c r="B1050" s="11"/>
      <c r="C1050" s="828">
        <v>51</v>
      </c>
      <c r="D1050" s="828">
        <v>125161.330441162</v>
      </c>
      <c r="E1050" s="829">
        <v>21014.0465165573</v>
      </c>
      <c r="F1050" s="830">
        <v>1.8383385641254899</v>
      </c>
      <c r="G1050" s="831">
        <v>0.30852289092711499</v>
      </c>
    </row>
    <row r="1051" spans="1:7" x14ac:dyDescent="0.25">
      <c r="A1051" s="6" t="s">
        <v>6303</v>
      </c>
      <c r="B1051" s="6"/>
      <c r="C1051" s="824">
        <v>65</v>
      </c>
      <c r="D1051" s="824">
        <v>125034.661938779</v>
      </c>
      <c r="E1051" s="825">
        <v>33819.308511850497</v>
      </c>
      <c r="F1051" s="826">
        <v>1.8364780885938601</v>
      </c>
      <c r="G1051" s="827">
        <v>0.49793557303901298</v>
      </c>
    </row>
    <row r="1052" spans="1:7" x14ac:dyDescent="0.25">
      <c r="A1052" s="11" t="s">
        <v>6301</v>
      </c>
      <c r="B1052" s="11"/>
      <c r="C1052" s="828">
        <v>49</v>
      </c>
      <c r="D1052" s="828">
        <v>124176.51587436799</v>
      </c>
      <c r="E1052" s="829">
        <v>19430.322159249601</v>
      </c>
      <c r="F1052" s="830">
        <v>1.8238738521392099</v>
      </c>
      <c r="G1052" s="831">
        <v>0.28449944964927398</v>
      </c>
    </row>
    <row r="1053" spans="1:7" x14ac:dyDescent="0.25">
      <c r="A1053" s="6" t="s">
        <v>1179</v>
      </c>
      <c r="B1053" s="6"/>
      <c r="C1053" s="824">
        <v>54</v>
      </c>
      <c r="D1053" s="824">
        <v>121702.090835204</v>
      </c>
      <c r="E1053" s="825">
        <v>25448.4394469334</v>
      </c>
      <c r="F1053" s="826">
        <v>1.7875301111650601</v>
      </c>
      <c r="G1053" s="827">
        <v>0.37450771626171098</v>
      </c>
    </row>
    <row r="1054" spans="1:7" x14ac:dyDescent="0.25">
      <c r="A1054" s="11" t="s">
        <v>6457</v>
      </c>
      <c r="B1054" s="11"/>
      <c r="C1054" s="828">
        <v>169</v>
      </c>
      <c r="D1054" s="828">
        <v>118584.74989823101</v>
      </c>
      <c r="E1054" s="829">
        <v>19312.909927140601</v>
      </c>
      <c r="F1054" s="830">
        <v>1.7417433810163401</v>
      </c>
      <c r="G1054" s="831">
        <v>0.28226613581102</v>
      </c>
    </row>
    <row r="1055" spans="1:7" x14ac:dyDescent="0.25">
      <c r="A1055" s="6" t="s">
        <v>3069</v>
      </c>
      <c r="B1055" s="6"/>
      <c r="C1055" s="824">
        <v>55</v>
      </c>
      <c r="D1055" s="824">
        <v>116869.35241902299</v>
      </c>
      <c r="E1055" s="825">
        <v>18023.636460277401</v>
      </c>
      <c r="F1055" s="826">
        <v>1.71654804849857</v>
      </c>
      <c r="G1055" s="827">
        <v>0.26511417694017497</v>
      </c>
    </row>
    <row r="1056" spans="1:7" x14ac:dyDescent="0.25">
      <c r="A1056" s="11" t="s">
        <v>1183</v>
      </c>
      <c r="B1056" s="11"/>
      <c r="C1056" s="828">
        <v>65</v>
      </c>
      <c r="D1056" s="828">
        <v>116409.572631836</v>
      </c>
      <c r="E1056" s="829">
        <v>28381.321583338002</v>
      </c>
      <c r="F1056" s="830">
        <v>1.70979491707362</v>
      </c>
      <c r="G1056" s="831">
        <v>0.41610984196454498</v>
      </c>
    </row>
    <row r="1057" spans="1:7" x14ac:dyDescent="0.25">
      <c r="A1057" s="6" t="s">
        <v>3099</v>
      </c>
      <c r="B1057" s="6"/>
      <c r="C1057" s="824">
        <v>109</v>
      </c>
      <c r="D1057" s="824">
        <v>114681.943812635</v>
      </c>
      <c r="E1057" s="825">
        <v>22847.712892480002</v>
      </c>
      <c r="F1057" s="826">
        <v>1.6844199336690999</v>
      </c>
      <c r="G1057" s="827">
        <v>0.33641696087942902</v>
      </c>
    </row>
    <row r="1058" spans="1:7" x14ac:dyDescent="0.25">
      <c r="A1058" s="11" t="s">
        <v>6296</v>
      </c>
      <c r="B1058" s="11"/>
      <c r="C1058" s="828">
        <v>49</v>
      </c>
      <c r="D1058" s="828">
        <v>114346.454073007</v>
      </c>
      <c r="E1058" s="829">
        <v>21252.815156861001</v>
      </c>
      <c r="F1058" s="830">
        <v>1.6794923436214999</v>
      </c>
      <c r="G1058" s="831">
        <v>0.31275174183113302</v>
      </c>
    </row>
    <row r="1059" spans="1:7" x14ac:dyDescent="0.25">
      <c r="A1059" s="6" t="s">
        <v>1181</v>
      </c>
      <c r="B1059" s="6"/>
      <c r="C1059" s="824">
        <v>54</v>
      </c>
      <c r="D1059" s="824">
        <v>113557.28532319301</v>
      </c>
      <c r="E1059" s="825">
        <v>24483.351062605001</v>
      </c>
      <c r="F1059" s="826">
        <v>1.6679012288477</v>
      </c>
      <c r="G1059" s="827">
        <v>0.36021203351900999</v>
      </c>
    </row>
    <row r="1060" spans="1:7" x14ac:dyDescent="0.25">
      <c r="A1060" s="11" t="s">
        <v>1017</v>
      </c>
      <c r="B1060" s="11"/>
      <c r="C1060" s="828">
        <v>43</v>
      </c>
      <c r="D1060" s="828">
        <v>110378.03386831599</v>
      </c>
      <c r="E1060" s="829">
        <v>26522.446762920201</v>
      </c>
      <c r="F1060" s="830">
        <v>1.6212051723744001</v>
      </c>
      <c r="G1060" s="831">
        <v>0.38880028242077203</v>
      </c>
    </row>
    <row r="1061" spans="1:7" x14ac:dyDescent="0.25">
      <c r="A1061" s="6" t="s">
        <v>3197</v>
      </c>
      <c r="B1061" s="6"/>
      <c r="C1061" s="824">
        <v>99</v>
      </c>
      <c r="D1061" s="824">
        <v>108813.30460060701</v>
      </c>
      <c r="E1061" s="825">
        <v>17369.520232099399</v>
      </c>
      <c r="F1061" s="826">
        <v>1.59822281716048</v>
      </c>
      <c r="G1061" s="827">
        <v>0.25610999578655402</v>
      </c>
    </row>
    <row r="1062" spans="1:7" x14ac:dyDescent="0.25">
      <c r="A1062" s="11" t="s">
        <v>1033</v>
      </c>
      <c r="B1062" s="11"/>
      <c r="C1062" s="828">
        <v>38</v>
      </c>
      <c r="D1062" s="828">
        <v>108516.570283968</v>
      </c>
      <c r="E1062" s="829">
        <v>24356.192363209499</v>
      </c>
      <c r="F1062" s="830">
        <v>1.5938644571490099</v>
      </c>
      <c r="G1062" s="831">
        <v>0.35724943561589301</v>
      </c>
    </row>
    <row r="1063" spans="1:7" x14ac:dyDescent="0.25">
      <c r="A1063" s="6" t="s">
        <v>1097</v>
      </c>
      <c r="B1063" s="6"/>
      <c r="C1063" s="824">
        <v>76</v>
      </c>
      <c r="D1063" s="824">
        <v>101747.24018787799</v>
      </c>
      <c r="E1063" s="825">
        <v>26126.921089887401</v>
      </c>
      <c r="F1063" s="826">
        <v>1.49443821643174</v>
      </c>
      <c r="G1063" s="827">
        <v>0.382999725037664</v>
      </c>
    </row>
    <row r="1064" spans="1:7" x14ac:dyDescent="0.25">
      <c r="A1064" s="11" t="s">
        <v>3210</v>
      </c>
      <c r="B1064" s="11"/>
      <c r="C1064" s="828">
        <v>161</v>
      </c>
      <c r="D1064" s="828">
        <v>99237.047873879594</v>
      </c>
      <c r="E1064" s="829">
        <v>19365.7864471633</v>
      </c>
      <c r="F1064" s="830">
        <v>1.4575691346000801</v>
      </c>
      <c r="G1064" s="831">
        <v>0.28483475648126</v>
      </c>
    </row>
    <row r="1065" spans="1:7" x14ac:dyDescent="0.25">
      <c r="A1065" s="6" t="s">
        <v>1089</v>
      </c>
      <c r="B1065" s="6"/>
      <c r="C1065" s="824">
        <v>54</v>
      </c>
      <c r="D1065" s="824">
        <v>97398.247754238706</v>
      </c>
      <c r="E1065" s="825">
        <v>21260.6356868775</v>
      </c>
      <c r="F1065" s="826">
        <v>1.4305612947206301</v>
      </c>
      <c r="G1065" s="827">
        <v>0.31277622479254202</v>
      </c>
    </row>
    <row r="1066" spans="1:7" x14ac:dyDescent="0.25">
      <c r="A1066" s="11" t="s">
        <v>3071</v>
      </c>
      <c r="B1066" s="11"/>
      <c r="C1066" s="828">
        <v>51</v>
      </c>
      <c r="D1066" s="828">
        <v>97236.758850835598</v>
      </c>
      <c r="E1066" s="829">
        <v>28726.461316466699</v>
      </c>
      <c r="F1066" s="830">
        <v>1.4281893857791199</v>
      </c>
      <c r="G1066" s="831">
        <v>0.42117279263794499</v>
      </c>
    </row>
    <row r="1067" spans="1:7" x14ac:dyDescent="0.25">
      <c r="A1067" s="6" t="s">
        <v>1081</v>
      </c>
      <c r="B1067" s="6"/>
      <c r="C1067" s="824">
        <v>44</v>
      </c>
      <c r="D1067" s="824">
        <v>96636.004414540497</v>
      </c>
      <c r="E1067" s="825">
        <v>17558.462354810599</v>
      </c>
      <c r="F1067" s="826">
        <v>1.41936565368936</v>
      </c>
      <c r="G1067" s="827">
        <v>0.25651812966357401</v>
      </c>
    </row>
    <row r="1068" spans="1:7" x14ac:dyDescent="0.25">
      <c r="A1068" s="11" t="s">
        <v>1099</v>
      </c>
      <c r="B1068" s="11"/>
      <c r="C1068" s="828">
        <v>88</v>
      </c>
      <c r="D1068" s="828">
        <v>96003.548199244105</v>
      </c>
      <c r="E1068" s="829">
        <v>18069.344829063299</v>
      </c>
      <c r="F1068" s="830">
        <v>1.41007629373607</v>
      </c>
      <c r="G1068" s="831">
        <v>0.26503001099053702</v>
      </c>
    </row>
    <row r="1069" spans="1:7" x14ac:dyDescent="0.25">
      <c r="A1069" s="6" t="s">
        <v>3201</v>
      </c>
      <c r="B1069" s="6"/>
      <c r="C1069" s="824">
        <v>121</v>
      </c>
      <c r="D1069" s="824">
        <v>95256.490724795207</v>
      </c>
      <c r="E1069" s="825">
        <v>22186.902980142298</v>
      </c>
      <c r="F1069" s="826">
        <v>1.39910369892538</v>
      </c>
      <c r="G1069" s="827">
        <v>0.32569216311156801</v>
      </c>
    </row>
    <row r="1070" spans="1:7" x14ac:dyDescent="0.25">
      <c r="A1070" s="11" t="s">
        <v>6298</v>
      </c>
      <c r="B1070" s="11"/>
      <c r="C1070" s="828">
        <v>45</v>
      </c>
      <c r="D1070" s="828">
        <v>95204.748952406793</v>
      </c>
      <c r="E1070" s="829">
        <v>19632.6469421496</v>
      </c>
      <c r="F1070" s="830">
        <v>1.39834372861169</v>
      </c>
      <c r="G1070" s="831">
        <v>0.28772156728062798</v>
      </c>
    </row>
    <row r="1071" spans="1:7" x14ac:dyDescent="0.25">
      <c r="A1071" s="6" t="s">
        <v>3060</v>
      </c>
      <c r="B1071" s="6"/>
      <c r="C1071" s="824">
        <v>41</v>
      </c>
      <c r="D1071" s="824">
        <v>94949.464562537003</v>
      </c>
      <c r="E1071" s="825">
        <v>22644.795458989702</v>
      </c>
      <c r="F1071" s="826">
        <v>1.3945941748392701</v>
      </c>
      <c r="G1071" s="827">
        <v>0.33239946062032399</v>
      </c>
    </row>
    <row r="1072" spans="1:7" x14ac:dyDescent="0.25">
      <c r="A1072" s="11" t="s">
        <v>1023</v>
      </c>
      <c r="B1072" s="11"/>
      <c r="C1072" s="828">
        <v>42</v>
      </c>
      <c r="D1072" s="828">
        <v>92820.982874837297</v>
      </c>
      <c r="E1072" s="829">
        <v>23435.425274881902</v>
      </c>
      <c r="F1072" s="830">
        <v>1.3633315639694299</v>
      </c>
      <c r="G1072" s="831">
        <v>0.34400908164310101</v>
      </c>
    </row>
    <row r="1073" spans="1:7" x14ac:dyDescent="0.25">
      <c r="A1073" s="6" t="s">
        <v>1079</v>
      </c>
      <c r="B1073" s="6"/>
      <c r="C1073" s="824">
        <v>63</v>
      </c>
      <c r="D1073" s="824">
        <v>92342.864471924797</v>
      </c>
      <c r="E1073" s="825">
        <v>32436.947775272401</v>
      </c>
      <c r="F1073" s="826">
        <v>1.3563090795072199</v>
      </c>
      <c r="G1073" s="827">
        <v>0.47623646118990698</v>
      </c>
    </row>
    <row r="1074" spans="1:7" x14ac:dyDescent="0.25">
      <c r="A1074" s="11" t="s">
        <v>1071</v>
      </c>
      <c r="B1074" s="11"/>
      <c r="C1074" s="828">
        <v>31</v>
      </c>
      <c r="D1074" s="828">
        <v>92146.107181222702</v>
      </c>
      <c r="E1074" s="829">
        <v>20149.539540444301</v>
      </c>
      <c r="F1074" s="830">
        <v>1.35341915724453</v>
      </c>
      <c r="G1074" s="831">
        <v>0.295833090873863</v>
      </c>
    </row>
    <row r="1075" spans="1:7" x14ac:dyDescent="0.25">
      <c r="A1075" s="6" t="s">
        <v>1101</v>
      </c>
      <c r="B1075" s="6"/>
      <c r="C1075" s="824">
        <v>123</v>
      </c>
      <c r="D1075" s="824">
        <v>91463.212843726404</v>
      </c>
      <c r="E1075" s="825">
        <v>20416.487629704101</v>
      </c>
      <c r="F1075" s="826">
        <v>1.3433889746680301</v>
      </c>
      <c r="G1075" s="827">
        <v>0.30010979142184502</v>
      </c>
    </row>
    <row r="1076" spans="1:7" x14ac:dyDescent="0.25">
      <c r="A1076" s="11" t="s">
        <v>1075</v>
      </c>
      <c r="B1076" s="11"/>
      <c r="C1076" s="828">
        <v>20</v>
      </c>
      <c r="D1076" s="828">
        <v>91396.954771128105</v>
      </c>
      <c r="E1076" s="829">
        <v>29330.398967441</v>
      </c>
      <c r="F1076" s="830">
        <v>1.34241579253891</v>
      </c>
      <c r="G1076" s="831">
        <v>0.43024867260243899</v>
      </c>
    </row>
    <row r="1077" spans="1:7" x14ac:dyDescent="0.25">
      <c r="A1077" s="6" t="s">
        <v>3085</v>
      </c>
      <c r="B1077" s="6"/>
      <c r="C1077" s="824">
        <v>64</v>
      </c>
      <c r="D1077" s="824">
        <v>89608.669017732798</v>
      </c>
      <c r="E1077" s="825">
        <v>19575.2228488404</v>
      </c>
      <c r="F1077" s="826">
        <v>1.31614989513629</v>
      </c>
      <c r="G1077" s="827">
        <v>0.28827129160091702</v>
      </c>
    </row>
    <row r="1078" spans="1:7" x14ac:dyDescent="0.25">
      <c r="A1078" s="11" t="s">
        <v>6297</v>
      </c>
      <c r="B1078" s="11"/>
      <c r="C1078" s="828">
        <v>46</v>
      </c>
      <c r="D1078" s="828">
        <v>89268.147334838504</v>
      </c>
      <c r="E1078" s="829">
        <v>19585.297097398699</v>
      </c>
      <c r="F1078" s="830">
        <v>1.3111483971546201</v>
      </c>
      <c r="G1078" s="831">
        <v>0.28844615394504902</v>
      </c>
    </row>
    <row r="1079" spans="1:7" x14ac:dyDescent="0.25">
      <c r="A1079" s="6" t="s">
        <v>3091</v>
      </c>
      <c r="B1079" s="6"/>
      <c r="C1079" s="824">
        <v>61</v>
      </c>
      <c r="D1079" s="824">
        <v>85934.334519487398</v>
      </c>
      <c r="E1079" s="825">
        <v>23006.802747295202</v>
      </c>
      <c r="F1079" s="826">
        <v>1.2621821817713701</v>
      </c>
      <c r="G1079" s="827">
        <v>0.339165208424066</v>
      </c>
    </row>
    <row r="1080" spans="1:7" x14ac:dyDescent="0.25">
      <c r="A1080" s="11" t="s">
        <v>1021</v>
      </c>
      <c r="B1080" s="11"/>
      <c r="C1080" s="828">
        <v>42</v>
      </c>
      <c r="D1080" s="828">
        <v>85723.497817262498</v>
      </c>
      <c r="E1080" s="829">
        <v>20977.921590183902</v>
      </c>
      <c r="F1080" s="830">
        <v>1.25908546460588</v>
      </c>
      <c r="G1080" s="831">
        <v>0.30703125413280702</v>
      </c>
    </row>
    <row r="1081" spans="1:7" x14ac:dyDescent="0.25">
      <c r="A1081" s="6" t="s">
        <v>1087</v>
      </c>
      <c r="B1081" s="6"/>
      <c r="C1081" s="824">
        <v>44</v>
      </c>
      <c r="D1081" s="824">
        <v>85706.949489746505</v>
      </c>
      <c r="E1081" s="825">
        <v>27697.0683017396</v>
      </c>
      <c r="F1081" s="826">
        <v>1.2588424068776001</v>
      </c>
      <c r="G1081" s="827">
        <v>0.406138025644325</v>
      </c>
    </row>
    <row r="1082" spans="1:7" x14ac:dyDescent="0.25">
      <c r="A1082" s="11" t="s">
        <v>1027</v>
      </c>
      <c r="B1082" s="11"/>
      <c r="C1082" s="828">
        <v>40</v>
      </c>
      <c r="D1082" s="828">
        <v>85633.233526838696</v>
      </c>
      <c r="E1082" s="829">
        <v>18255.9289158102</v>
      </c>
      <c r="F1082" s="830">
        <v>1.2577596851062101</v>
      </c>
      <c r="G1082" s="831">
        <v>0.26821137318482902</v>
      </c>
    </row>
    <row r="1083" spans="1:7" x14ac:dyDescent="0.25">
      <c r="A1083" s="6" t="s">
        <v>1073</v>
      </c>
      <c r="B1083" s="6"/>
      <c r="C1083" s="824">
        <v>29</v>
      </c>
      <c r="D1083" s="824">
        <v>85146.256927434297</v>
      </c>
      <c r="E1083" s="825">
        <v>33899.1190494162</v>
      </c>
      <c r="F1083" s="826">
        <v>1.250607093652</v>
      </c>
      <c r="G1083" s="827">
        <v>0.49767561188297699</v>
      </c>
    </row>
    <row r="1084" spans="1:7" x14ac:dyDescent="0.25">
      <c r="A1084" s="11" t="s">
        <v>6458</v>
      </c>
      <c r="B1084" s="11"/>
      <c r="C1084" s="828">
        <v>166</v>
      </c>
      <c r="D1084" s="828">
        <v>85135.682341042295</v>
      </c>
      <c r="E1084" s="829">
        <v>15280.4932972844</v>
      </c>
      <c r="F1084" s="830">
        <v>1.2504517767510399</v>
      </c>
      <c r="G1084" s="831">
        <v>0.22463645921094999</v>
      </c>
    </row>
    <row r="1085" spans="1:7" x14ac:dyDescent="0.25">
      <c r="A1085" s="6" t="s">
        <v>1029</v>
      </c>
      <c r="B1085" s="6"/>
      <c r="C1085" s="824">
        <v>56</v>
      </c>
      <c r="D1085" s="824">
        <v>83328.122560898701</v>
      </c>
      <c r="E1085" s="825">
        <v>14170.5087311481</v>
      </c>
      <c r="F1085" s="826">
        <v>1.2239027872261801</v>
      </c>
      <c r="G1085" s="827">
        <v>0.20802471836002201</v>
      </c>
    </row>
    <row r="1086" spans="1:7" x14ac:dyDescent="0.25">
      <c r="A1086" s="11" t="s">
        <v>3073</v>
      </c>
      <c r="B1086" s="11"/>
      <c r="C1086" s="828">
        <v>52</v>
      </c>
      <c r="D1086" s="828">
        <v>82388.388622046405</v>
      </c>
      <c r="E1086" s="829">
        <v>12805.953644859699</v>
      </c>
      <c r="F1086" s="830">
        <v>1.2101002083168599</v>
      </c>
      <c r="G1086" s="831">
        <v>0.18799316283809001</v>
      </c>
    </row>
    <row r="1087" spans="1:7" x14ac:dyDescent="0.25">
      <c r="A1087" s="6" t="s">
        <v>6300</v>
      </c>
      <c r="B1087" s="6"/>
      <c r="C1087" s="824">
        <v>45</v>
      </c>
      <c r="D1087" s="824">
        <v>81170.942279316296</v>
      </c>
      <c r="E1087" s="825">
        <v>17807.958663158799</v>
      </c>
      <c r="F1087" s="826">
        <v>1.19221865853063</v>
      </c>
      <c r="G1087" s="827">
        <v>0.26068088516924598</v>
      </c>
    </row>
    <row r="1088" spans="1:7" x14ac:dyDescent="0.25">
      <c r="A1088" s="11" t="s">
        <v>3075</v>
      </c>
      <c r="B1088" s="11"/>
      <c r="C1088" s="828">
        <v>43</v>
      </c>
      <c r="D1088" s="828">
        <v>79545.357733748097</v>
      </c>
      <c r="E1088" s="829">
        <v>14064.805894328099</v>
      </c>
      <c r="F1088" s="830">
        <v>1.1683424760960699</v>
      </c>
      <c r="G1088" s="831">
        <v>0.20571829813303799</v>
      </c>
    </row>
    <row r="1089" spans="1:7" x14ac:dyDescent="0.25">
      <c r="A1089" s="6" t="s">
        <v>1031</v>
      </c>
      <c r="B1089" s="6"/>
      <c r="C1089" s="824">
        <v>41</v>
      </c>
      <c r="D1089" s="824">
        <v>78462.639077416898</v>
      </c>
      <c r="E1089" s="825">
        <v>18784.599339537501</v>
      </c>
      <c r="F1089" s="826">
        <v>1.1524397731364899</v>
      </c>
      <c r="G1089" s="827">
        <v>0.27717736411958699</v>
      </c>
    </row>
    <row r="1090" spans="1:7" x14ac:dyDescent="0.25">
      <c r="A1090" s="11" t="s">
        <v>1093</v>
      </c>
      <c r="B1090" s="11"/>
      <c r="C1090" s="828">
        <v>69</v>
      </c>
      <c r="D1090" s="828">
        <v>78336.864680730097</v>
      </c>
      <c r="E1090" s="829">
        <v>20252.716768676401</v>
      </c>
      <c r="F1090" s="830">
        <v>1.1505924300074799</v>
      </c>
      <c r="G1090" s="831">
        <v>0.29692749265985602</v>
      </c>
    </row>
    <row r="1091" spans="1:7" x14ac:dyDescent="0.25">
      <c r="A1091" s="6" t="s">
        <v>1019</v>
      </c>
      <c r="B1091" s="6"/>
      <c r="C1091" s="824">
        <v>40</v>
      </c>
      <c r="D1091" s="824">
        <v>77950.018183716806</v>
      </c>
      <c r="E1091" s="825">
        <v>11036.174683155499</v>
      </c>
      <c r="F1091" s="826">
        <v>1.1449105246510101</v>
      </c>
      <c r="G1091" s="827">
        <v>0.16200947227319101</v>
      </c>
    </row>
    <row r="1092" spans="1:7" x14ac:dyDescent="0.25">
      <c r="A1092" s="11" t="s">
        <v>3199</v>
      </c>
      <c r="B1092" s="11"/>
      <c r="C1092" s="828">
        <v>110</v>
      </c>
      <c r="D1092" s="828">
        <v>75476.300707142596</v>
      </c>
      <c r="E1092" s="829">
        <v>18043.751022289602</v>
      </c>
      <c r="F1092" s="830">
        <v>1.10857717618061</v>
      </c>
      <c r="G1092" s="831">
        <v>0.26504352738169101</v>
      </c>
    </row>
    <row r="1093" spans="1:7" x14ac:dyDescent="0.25">
      <c r="A1093" s="6" t="s">
        <v>1085</v>
      </c>
      <c r="B1093" s="6"/>
      <c r="C1093" s="824">
        <v>38</v>
      </c>
      <c r="D1093" s="824">
        <v>74793.202986343997</v>
      </c>
      <c r="E1093" s="825">
        <v>21199.784922262399</v>
      </c>
      <c r="F1093" s="826">
        <v>1.09854400636063</v>
      </c>
      <c r="G1093" s="827">
        <v>0.31068539136989498</v>
      </c>
    </row>
    <row r="1094" spans="1:7" x14ac:dyDescent="0.25">
      <c r="A1094" s="11" t="s">
        <v>3208</v>
      </c>
      <c r="B1094" s="11"/>
      <c r="C1094" s="828">
        <v>163</v>
      </c>
      <c r="D1094" s="828">
        <v>73975.216137564406</v>
      </c>
      <c r="E1094" s="829">
        <v>15601.2821603587</v>
      </c>
      <c r="F1094" s="830">
        <v>1.0865296185001101</v>
      </c>
      <c r="G1094" s="831">
        <v>0.23009300933247301</v>
      </c>
    </row>
    <row r="1095" spans="1:7" x14ac:dyDescent="0.25">
      <c r="A1095" s="6" t="s">
        <v>1091</v>
      </c>
      <c r="B1095" s="6"/>
      <c r="C1095" s="824">
        <v>55</v>
      </c>
      <c r="D1095" s="824">
        <v>73831.720234605702</v>
      </c>
      <c r="E1095" s="825">
        <v>29949.731640529</v>
      </c>
      <c r="F1095" s="826">
        <v>1.08442198628437</v>
      </c>
      <c r="G1095" s="827">
        <v>0.44081783665017499</v>
      </c>
    </row>
    <row r="1096" spans="1:7" x14ac:dyDescent="0.25">
      <c r="A1096" s="11" t="s">
        <v>1177</v>
      </c>
      <c r="B1096" s="11"/>
      <c r="C1096" s="828">
        <v>28</v>
      </c>
      <c r="D1096" s="828">
        <v>71854.031081678695</v>
      </c>
      <c r="E1096" s="829">
        <v>20528.084645527899</v>
      </c>
      <c r="F1096" s="830">
        <v>1.0553741787477799</v>
      </c>
      <c r="G1096" s="831">
        <v>0.30164740452426198</v>
      </c>
    </row>
    <row r="1097" spans="1:7" x14ac:dyDescent="0.25">
      <c r="A1097" s="6" t="s">
        <v>3212</v>
      </c>
      <c r="B1097" s="6"/>
      <c r="C1097" s="824">
        <v>166</v>
      </c>
      <c r="D1097" s="824">
        <v>71299.151150972903</v>
      </c>
      <c r="E1097" s="825">
        <v>15470.460354041101</v>
      </c>
      <c r="F1097" s="826">
        <v>1.04722424001287</v>
      </c>
      <c r="G1097" s="827">
        <v>0.22675889082744799</v>
      </c>
    </row>
    <row r="1098" spans="1:7" x14ac:dyDescent="0.25">
      <c r="A1098" s="11" t="s">
        <v>6299</v>
      </c>
      <c r="B1098" s="11"/>
      <c r="C1098" s="828">
        <v>39</v>
      </c>
      <c r="D1098" s="828">
        <v>70240.572922523905</v>
      </c>
      <c r="E1098" s="829">
        <v>13267.6089376502</v>
      </c>
      <c r="F1098" s="830">
        <v>1.0316761056678401</v>
      </c>
      <c r="G1098" s="831">
        <v>0.19482011025823101</v>
      </c>
    </row>
    <row r="1099" spans="1:7" x14ac:dyDescent="0.25">
      <c r="A1099" s="6" t="s">
        <v>1107</v>
      </c>
      <c r="B1099" s="6"/>
      <c r="C1099" s="824">
        <v>134</v>
      </c>
      <c r="D1099" s="824">
        <v>69949.478479628597</v>
      </c>
      <c r="E1099" s="825">
        <v>21597.5742403718</v>
      </c>
      <c r="F1099" s="826">
        <v>1.0274005827224499</v>
      </c>
      <c r="G1099" s="827">
        <v>0.31651385476681698</v>
      </c>
    </row>
    <row r="1100" spans="1:7" x14ac:dyDescent="0.25">
      <c r="A1100" s="11" t="s">
        <v>1111</v>
      </c>
      <c r="B1100" s="11"/>
      <c r="C1100" s="828">
        <v>131</v>
      </c>
      <c r="D1100" s="828">
        <v>69426.540722942096</v>
      </c>
      <c r="E1100" s="829">
        <v>15238.3207199355</v>
      </c>
      <c r="F1100" s="830">
        <v>1.01971980271343</v>
      </c>
      <c r="G1100" s="831">
        <v>0.223524461442865</v>
      </c>
    </row>
    <row r="1101" spans="1:7" x14ac:dyDescent="0.25">
      <c r="A1101" s="6" t="s">
        <v>1113</v>
      </c>
      <c r="B1101" s="6"/>
      <c r="C1101" s="824">
        <v>121</v>
      </c>
      <c r="D1101" s="824">
        <v>68859.071024801306</v>
      </c>
      <c r="E1101" s="825">
        <v>14953.6149684141</v>
      </c>
      <c r="F1101" s="826">
        <v>1.0113849485984501</v>
      </c>
      <c r="G1101" s="827">
        <v>0.21994379108642001</v>
      </c>
    </row>
    <row r="1102" spans="1:7" x14ac:dyDescent="0.25">
      <c r="A1102" s="11" t="s">
        <v>3056</v>
      </c>
      <c r="B1102" s="11"/>
      <c r="C1102" s="828">
        <v>32</v>
      </c>
      <c r="D1102" s="828">
        <v>68418.669113506898</v>
      </c>
      <c r="E1102" s="829">
        <v>19729.458025588399</v>
      </c>
      <c r="F1102" s="830">
        <v>1.0049164346062001</v>
      </c>
      <c r="G1102" s="831">
        <v>0.29034521316359502</v>
      </c>
    </row>
    <row r="1103" spans="1:7" x14ac:dyDescent="0.25">
      <c r="A1103" s="6" t="s">
        <v>6302</v>
      </c>
      <c r="B1103" s="6"/>
      <c r="C1103" s="824">
        <v>39</v>
      </c>
      <c r="D1103" s="824">
        <v>66939.034041512205</v>
      </c>
      <c r="E1103" s="825">
        <v>17653.6227136575</v>
      </c>
      <c r="F1103" s="826">
        <v>0.98318392182375203</v>
      </c>
      <c r="G1103" s="827">
        <v>0.25906310333813298</v>
      </c>
    </row>
    <row r="1104" spans="1:7" x14ac:dyDescent="0.25">
      <c r="A1104" s="11" t="s">
        <v>1185</v>
      </c>
      <c r="B1104" s="11"/>
      <c r="C1104" s="828">
        <v>128</v>
      </c>
      <c r="D1104" s="828">
        <v>65426.575654141001</v>
      </c>
      <c r="E1104" s="829">
        <v>12497.9211994588</v>
      </c>
      <c r="F1104" s="830">
        <v>0.96096930832979699</v>
      </c>
      <c r="G1104" s="831">
        <v>0.184250655511185</v>
      </c>
    </row>
    <row r="1105" spans="1:7" x14ac:dyDescent="0.25">
      <c r="A1105" s="6" t="s">
        <v>1187</v>
      </c>
      <c r="B1105" s="6"/>
      <c r="C1105" s="824">
        <v>145</v>
      </c>
      <c r="D1105" s="824">
        <v>65182.066768454897</v>
      </c>
      <c r="E1105" s="825">
        <v>14379.2025671429</v>
      </c>
      <c r="F1105" s="826">
        <v>0.95737802248900405</v>
      </c>
      <c r="G1105" s="827">
        <v>0.210944261964221</v>
      </c>
    </row>
    <row r="1106" spans="1:7" x14ac:dyDescent="0.25">
      <c r="A1106" s="11" t="s">
        <v>1095</v>
      </c>
      <c r="B1106" s="11"/>
      <c r="C1106" s="828">
        <v>78</v>
      </c>
      <c r="D1106" s="828">
        <v>65037.483550949</v>
      </c>
      <c r="E1106" s="829">
        <v>20942.379076649398</v>
      </c>
      <c r="F1106" s="830">
        <v>0.95525442006699801</v>
      </c>
      <c r="G1106" s="831">
        <v>0.30751080300376099</v>
      </c>
    </row>
    <row r="1107" spans="1:7" x14ac:dyDescent="0.25">
      <c r="A1107" s="6" t="s">
        <v>1105</v>
      </c>
      <c r="B1107" s="6"/>
      <c r="C1107" s="824">
        <v>124</v>
      </c>
      <c r="D1107" s="824">
        <v>64455.422860760002</v>
      </c>
      <c r="E1107" s="825">
        <v>19069.517346470901</v>
      </c>
      <c r="F1107" s="826">
        <v>0.94670525708139797</v>
      </c>
      <c r="G1107" s="827">
        <v>0.280063367887393</v>
      </c>
    </row>
    <row r="1108" spans="1:7" x14ac:dyDescent="0.25">
      <c r="A1108" s="11" t="s">
        <v>3097</v>
      </c>
      <c r="B1108" s="11"/>
      <c r="C1108" s="828">
        <v>82</v>
      </c>
      <c r="D1108" s="828">
        <v>62676.226173951298</v>
      </c>
      <c r="E1108" s="829">
        <v>18343.644986379099</v>
      </c>
      <c r="F1108" s="830">
        <v>0.92057285763345298</v>
      </c>
      <c r="G1108" s="831">
        <v>0.26909963786842001</v>
      </c>
    </row>
    <row r="1109" spans="1:7" x14ac:dyDescent="0.25">
      <c r="A1109" s="6" t="s">
        <v>3083</v>
      </c>
      <c r="B1109" s="6"/>
      <c r="C1109" s="824">
        <v>64</v>
      </c>
      <c r="D1109" s="824">
        <v>62083.955696633297</v>
      </c>
      <c r="E1109" s="825">
        <v>17040.4471606972</v>
      </c>
      <c r="F1109" s="826">
        <v>0.91187373582794895</v>
      </c>
      <c r="G1109" s="827">
        <v>0.25002994997252498</v>
      </c>
    </row>
    <row r="1110" spans="1:7" x14ac:dyDescent="0.25">
      <c r="A1110" s="11" t="s">
        <v>1035</v>
      </c>
      <c r="B1110" s="11"/>
      <c r="C1110" s="828">
        <v>40</v>
      </c>
      <c r="D1110" s="828">
        <v>61959.579805745198</v>
      </c>
      <c r="E1110" s="829">
        <v>17679.295315124898</v>
      </c>
      <c r="F1110" s="830">
        <v>0.91004693360508004</v>
      </c>
      <c r="G1110" s="831">
        <v>0.26012089716005998</v>
      </c>
    </row>
    <row r="1111" spans="1:7" x14ac:dyDescent="0.25">
      <c r="A1111" s="6" t="s">
        <v>1115</v>
      </c>
      <c r="B1111" s="6"/>
      <c r="C1111" s="824">
        <v>117</v>
      </c>
      <c r="D1111" s="824">
        <v>58257.439598530596</v>
      </c>
      <c r="E1111" s="825">
        <v>12817.2796488532</v>
      </c>
      <c r="F1111" s="826">
        <v>0.85567081688649405</v>
      </c>
      <c r="G1111" s="827">
        <v>0.18788389544620099</v>
      </c>
    </row>
    <row r="1112" spans="1:7" x14ac:dyDescent="0.25">
      <c r="A1112" s="11" t="s">
        <v>1025</v>
      </c>
      <c r="B1112" s="11"/>
      <c r="C1112" s="828">
        <v>40</v>
      </c>
      <c r="D1112" s="828">
        <v>56516.884768520402</v>
      </c>
      <c r="E1112" s="829">
        <v>14017.5762220943</v>
      </c>
      <c r="F1112" s="830">
        <v>0.83010597944265796</v>
      </c>
      <c r="G1112" s="831">
        <v>0.206448540237268</v>
      </c>
    </row>
    <row r="1113" spans="1:7" x14ac:dyDescent="0.25">
      <c r="A1113" s="6" t="s">
        <v>3054</v>
      </c>
      <c r="B1113" s="6"/>
      <c r="C1113" s="824">
        <v>34</v>
      </c>
      <c r="D1113" s="824">
        <v>53931.631949982599</v>
      </c>
      <c r="E1113" s="825">
        <v>18983.774459170399</v>
      </c>
      <c r="F1113" s="826">
        <v>0.79213442754575503</v>
      </c>
      <c r="G1113" s="827">
        <v>0.278704406407359</v>
      </c>
    </row>
    <row r="1114" spans="1:7" x14ac:dyDescent="0.25">
      <c r="A1114" s="11" t="s">
        <v>3077</v>
      </c>
      <c r="B1114" s="11"/>
      <c r="C1114" s="828">
        <v>37</v>
      </c>
      <c r="D1114" s="828">
        <v>49931.722027167998</v>
      </c>
      <c r="E1114" s="829">
        <v>13717.3137185304</v>
      </c>
      <c r="F1114" s="830">
        <v>0.73338474313268398</v>
      </c>
      <c r="G1114" s="831">
        <v>0.20167644217774799</v>
      </c>
    </row>
    <row r="1115" spans="1:7" x14ac:dyDescent="0.25">
      <c r="A1115" s="6" t="s">
        <v>1109</v>
      </c>
      <c r="B1115" s="6"/>
      <c r="C1115" s="824">
        <v>126</v>
      </c>
      <c r="D1115" s="824">
        <v>49872.944677626001</v>
      </c>
      <c r="E1115" s="825">
        <v>11451.2682762943</v>
      </c>
      <c r="F1115" s="826">
        <v>0.73252143600755704</v>
      </c>
      <c r="G1115" s="827">
        <v>0.16777773149087499</v>
      </c>
    </row>
    <row r="1116" spans="1:7" x14ac:dyDescent="0.25">
      <c r="A1116" s="11" t="s">
        <v>3062</v>
      </c>
      <c r="B1116" s="11"/>
      <c r="C1116" s="828">
        <v>27</v>
      </c>
      <c r="D1116" s="828">
        <v>49436.559310917699</v>
      </c>
      <c r="E1116" s="829">
        <v>19712.963488863501</v>
      </c>
      <c r="F1116" s="830">
        <v>0.72611191602552905</v>
      </c>
      <c r="G1116" s="831">
        <v>0.28939505104856</v>
      </c>
    </row>
    <row r="1117" spans="1:7" x14ac:dyDescent="0.25">
      <c r="A1117" s="6" t="s">
        <v>1174</v>
      </c>
      <c r="B1117" s="6"/>
      <c r="C1117" s="824">
        <v>17</v>
      </c>
      <c r="D1117" s="824">
        <v>48760.693931495902</v>
      </c>
      <c r="E1117" s="825">
        <v>12187.4266499188</v>
      </c>
      <c r="F1117" s="826">
        <v>0.71618497304106998</v>
      </c>
      <c r="G1117" s="827">
        <v>0.178934394998011</v>
      </c>
    </row>
    <row r="1118" spans="1:7" x14ac:dyDescent="0.25">
      <c r="A1118" s="11" t="s">
        <v>3087</v>
      </c>
      <c r="B1118" s="11"/>
      <c r="C1118" s="828">
        <v>49</v>
      </c>
      <c r="D1118" s="828">
        <v>46045.179817516597</v>
      </c>
      <c r="E1118" s="829">
        <v>15591.1371187963</v>
      </c>
      <c r="F1118" s="830">
        <v>0.67630017555961597</v>
      </c>
      <c r="G1118" s="831">
        <v>0.22915058914095199</v>
      </c>
    </row>
    <row r="1119" spans="1:7" x14ac:dyDescent="0.25">
      <c r="A1119" s="6" t="s">
        <v>3105</v>
      </c>
      <c r="B1119" s="6"/>
      <c r="C1119" s="824">
        <v>105</v>
      </c>
      <c r="D1119" s="824">
        <v>42241.269226983</v>
      </c>
      <c r="E1119" s="825">
        <v>12168.964552182601</v>
      </c>
      <c r="F1119" s="826">
        <v>0.62042928070403103</v>
      </c>
      <c r="G1119" s="827">
        <v>0.178795950202641</v>
      </c>
    </row>
    <row r="1120" spans="1:7" x14ac:dyDescent="0.25">
      <c r="A1120" s="11" t="s">
        <v>3058</v>
      </c>
      <c r="B1120" s="11"/>
      <c r="C1120" s="828">
        <v>35</v>
      </c>
      <c r="D1120" s="828">
        <v>40688.503145479197</v>
      </c>
      <c r="E1120" s="829">
        <v>11371.457855378099</v>
      </c>
      <c r="F1120" s="830">
        <v>0.59762263780056402</v>
      </c>
      <c r="G1120" s="831">
        <v>0.16692080355428099</v>
      </c>
    </row>
    <row r="1121" spans="1:7" x14ac:dyDescent="0.25">
      <c r="A1121" s="6" t="s">
        <v>3220</v>
      </c>
      <c r="B1121" s="6"/>
      <c r="C1121" s="824">
        <v>84</v>
      </c>
      <c r="D1121" s="824">
        <v>38291.5907736144</v>
      </c>
      <c r="E1121" s="825">
        <v>16116.312714650599</v>
      </c>
      <c r="F1121" s="826">
        <v>0.56241738364980198</v>
      </c>
      <c r="G1121" s="827">
        <v>0.236662250980891</v>
      </c>
    </row>
    <row r="1122" spans="1:7" x14ac:dyDescent="0.25">
      <c r="A1122" s="11" t="s">
        <v>1121</v>
      </c>
      <c r="B1122" s="11"/>
      <c r="C1122" s="828">
        <v>45</v>
      </c>
      <c r="D1122" s="828">
        <v>36912.275716221899</v>
      </c>
      <c r="E1122" s="829">
        <v>11810.2292309312</v>
      </c>
      <c r="F1122" s="830">
        <v>0.54215834634853699</v>
      </c>
      <c r="G1122" s="831">
        <v>0.173886979373681</v>
      </c>
    </row>
    <row r="1123" spans="1:7" x14ac:dyDescent="0.25">
      <c r="A1123" s="6" t="s">
        <v>3089</v>
      </c>
      <c r="B1123" s="6"/>
      <c r="C1123" s="824">
        <v>41</v>
      </c>
      <c r="D1123" s="824">
        <v>36058.177149764597</v>
      </c>
      <c r="E1123" s="825">
        <v>12363.823677566999</v>
      </c>
      <c r="F1123" s="826">
        <v>0.52961355853948699</v>
      </c>
      <c r="G1123" s="827">
        <v>0.18114296218137901</v>
      </c>
    </row>
    <row r="1124" spans="1:7" x14ac:dyDescent="0.25">
      <c r="A1124" s="11" t="s">
        <v>3222</v>
      </c>
      <c r="B1124" s="11"/>
      <c r="C1124" s="828">
        <v>98</v>
      </c>
      <c r="D1124" s="828">
        <v>30225.412321183499</v>
      </c>
      <c r="E1124" s="829">
        <v>7775.86614153351</v>
      </c>
      <c r="F1124" s="830">
        <v>0.44394335607311097</v>
      </c>
      <c r="G1124" s="831">
        <v>0.114235942234305</v>
      </c>
    </row>
    <row r="1125" spans="1:7" x14ac:dyDescent="0.25">
      <c r="A1125" s="6" t="s">
        <v>6305</v>
      </c>
      <c r="B1125" s="6"/>
      <c r="C1125" s="824">
        <v>76</v>
      </c>
      <c r="D1125" s="824">
        <v>26996.849158656802</v>
      </c>
      <c r="E1125" s="825">
        <v>10936.9427539835</v>
      </c>
      <c r="F1125" s="826">
        <v>0.39652302147401602</v>
      </c>
      <c r="G1125" s="827">
        <v>0.16034121570278201</v>
      </c>
    </row>
    <row r="1126" spans="1:7" x14ac:dyDescent="0.25">
      <c r="A1126" s="11" t="s">
        <v>1189</v>
      </c>
      <c r="B1126" s="11"/>
      <c r="C1126" s="828">
        <v>61</v>
      </c>
      <c r="D1126" s="828">
        <v>25732.386442173702</v>
      </c>
      <c r="E1126" s="829">
        <v>7327.6329694186797</v>
      </c>
      <c r="F1126" s="830">
        <v>0.37795090685669402</v>
      </c>
      <c r="G1126" s="831">
        <v>0.107666434133836</v>
      </c>
    </row>
    <row r="1127" spans="1:7" x14ac:dyDescent="0.25">
      <c r="A1127" s="6" t="s">
        <v>6306</v>
      </c>
      <c r="B1127" s="6"/>
      <c r="C1127" s="824">
        <v>71</v>
      </c>
      <c r="D1127" s="824">
        <v>22509.640512275801</v>
      </c>
      <c r="E1127" s="825">
        <v>5998.6774667475802</v>
      </c>
      <c r="F1127" s="826">
        <v>0.33061601432696902</v>
      </c>
      <c r="G1127" s="827">
        <v>8.8244565207342501E-2</v>
      </c>
    </row>
    <row r="1128" spans="1:7" x14ac:dyDescent="0.25">
      <c r="A1128" s="11" t="s">
        <v>1119</v>
      </c>
      <c r="B1128" s="11"/>
      <c r="C1128" s="828">
        <v>50</v>
      </c>
      <c r="D1128" s="828">
        <v>17912.072670762202</v>
      </c>
      <c r="E1128" s="829">
        <v>4981.3321078863701</v>
      </c>
      <c r="F1128" s="830">
        <v>0.26308807870622503</v>
      </c>
      <c r="G1128" s="831">
        <v>7.31128553008768E-2</v>
      </c>
    </row>
    <row r="1129" spans="1:7" x14ac:dyDescent="0.25">
      <c r="A1129" s="6" t="s">
        <v>1117</v>
      </c>
      <c r="B1129" s="6"/>
      <c r="C1129" s="824">
        <v>44</v>
      </c>
      <c r="D1129" s="824">
        <v>14299.099566606001</v>
      </c>
      <c r="E1129" s="825">
        <v>4993.5646341474703</v>
      </c>
      <c r="F1129" s="826">
        <v>0.21002162627153501</v>
      </c>
      <c r="G1129" s="827">
        <v>7.3351565521919196E-2</v>
      </c>
    </row>
    <row r="1130" spans="1:7" x14ac:dyDescent="0.25">
      <c r="A1130" s="11" t="s">
        <v>1127</v>
      </c>
      <c r="B1130" s="11"/>
      <c r="C1130" s="828">
        <v>7</v>
      </c>
      <c r="D1130" s="828">
        <v>13640.3925761012</v>
      </c>
      <c r="E1130" s="829">
        <v>9507.0579224307294</v>
      </c>
      <c r="F1130" s="830">
        <v>0.200346701445825</v>
      </c>
      <c r="G1130" s="831">
        <v>0.139555250407391</v>
      </c>
    </row>
    <row r="1131" spans="1:7" x14ac:dyDescent="0.25">
      <c r="A1131" s="6" t="s">
        <v>3229</v>
      </c>
      <c r="B1131" s="6"/>
      <c r="C1131" s="824">
        <v>28</v>
      </c>
      <c r="D1131" s="824">
        <v>12802.862731544699</v>
      </c>
      <c r="E1131" s="825">
        <v>4167.69734310076</v>
      </c>
      <c r="F1131" s="826">
        <v>0.18804527091271001</v>
      </c>
      <c r="G1131" s="827">
        <v>6.1206047492162401E-2</v>
      </c>
    </row>
    <row r="1132" spans="1:7" x14ac:dyDescent="0.25">
      <c r="A1132" s="11" t="s">
        <v>3231</v>
      </c>
      <c r="B1132" s="11"/>
      <c r="C1132" s="828">
        <v>26</v>
      </c>
      <c r="D1132" s="828">
        <v>12300.531676519</v>
      </c>
      <c r="E1132" s="829">
        <v>7057.6898732259097</v>
      </c>
      <c r="F1132" s="830">
        <v>0.180667157024365</v>
      </c>
      <c r="G1132" s="831">
        <v>0.10369823180252701</v>
      </c>
    </row>
    <row r="1133" spans="1:7" x14ac:dyDescent="0.25">
      <c r="A1133" s="6" t="s">
        <v>3235</v>
      </c>
      <c r="B1133" s="6"/>
      <c r="C1133" s="824">
        <v>16</v>
      </c>
      <c r="D1133" s="824">
        <v>11093.9938168397</v>
      </c>
      <c r="E1133" s="825">
        <v>6725.6404768685197</v>
      </c>
      <c r="F1133" s="826">
        <v>0.162945828330368</v>
      </c>
      <c r="G1133" s="827">
        <v>9.8782747124092296E-2</v>
      </c>
    </row>
    <row r="1134" spans="1:7" x14ac:dyDescent="0.25">
      <c r="A1134" s="11" t="s">
        <v>1123</v>
      </c>
      <c r="B1134" s="11"/>
      <c r="C1134" s="828">
        <v>44</v>
      </c>
      <c r="D1134" s="828">
        <v>10332.063961216099</v>
      </c>
      <c r="E1134" s="829">
        <v>4278.6667089882803</v>
      </c>
      <c r="F1134" s="830">
        <v>0.15175479167540101</v>
      </c>
      <c r="G1134" s="831">
        <v>6.2802887291070197E-2</v>
      </c>
    </row>
    <row r="1135" spans="1:7" x14ac:dyDescent="0.25">
      <c r="A1135" s="6" t="s">
        <v>1005</v>
      </c>
      <c r="B1135" s="6"/>
      <c r="C1135" s="824">
        <v>1</v>
      </c>
      <c r="D1135" s="824">
        <v>7838.8475547762901</v>
      </c>
      <c r="E1135" s="825">
        <v>7746.4511883171799</v>
      </c>
      <c r="F1135" s="826">
        <v>0.115135047761579</v>
      </c>
      <c r="G1135" s="827">
        <v>0.1137517950204</v>
      </c>
    </row>
    <row r="1136" spans="1:7" x14ac:dyDescent="0.25">
      <c r="A1136" s="11" t="s">
        <v>3237</v>
      </c>
      <c r="B1136" s="11"/>
      <c r="C1136" s="828">
        <v>17</v>
      </c>
      <c r="D1136" s="828">
        <v>7496.9012245145404</v>
      </c>
      <c r="E1136" s="829">
        <v>3739.4420796495201</v>
      </c>
      <c r="F1136" s="830">
        <v>0.110112624912879</v>
      </c>
      <c r="G1136" s="831">
        <v>5.4938569007778201E-2</v>
      </c>
    </row>
    <row r="1137" spans="1:7" x14ac:dyDescent="0.25">
      <c r="A1137" s="6" t="s">
        <v>3233</v>
      </c>
      <c r="B1137" s="6"/>
      <c r="C1137" s="824">
        <v>20</v>
      </c>
      <c r="D1137" s="824">
        <v>6694.1349594503899</v>
      </c>
      <c r="E1137" s="825">
        <v>3835.9876964127898</v>
      </c>
      <c r="F1137" s="826">
        <v>9.8321793209151506E-2</v>
      </c>
      <c r="G1137" s="827">
        <v>5.62846953386055E-2</v>
      </c>
    </row>
    <row r="1138" spans="1:7" x14ac:dyDescent="0.25">
      <c r="A1138" s="11" t="s">
        <v>1191</v>
      </c>
      <c r="B1138" s="11"/>
      <c r="C1138" s="828">
        <v>9</v>
      </c>
      <c r="D1138" s="828">
        <v>6034.4139598266102</v>
      </c>
      <c r="E1138" s="829">
        <v>3692.0016350675601</v>
      </c>
      <c r="F1138" s="830">
        <v>8.86319748691176E-2</v>
      </c>
      <c r="G1138" s="831">
        <v>5.4256207714492903E-2</v>
      </c>
    </row>
    <row r="1139" spans="1:7" x14ac:dyDescent="0.25">
      <c r="A1139" s="6" t="s">
        <v>1125</v>
      </c>
      <c r="B1139" s="6"/>
      <c r="C1139" s="824">
        <v>11</v>
      </c>
      <c r="D1139" s="824">
        <v>5370.68414899461</v>
      </c>
      <c r="E1139" s="825">
        <v>3777.6032981375902</v>
      </c>
      <c r="F1139" s="826">
        <v>7.8883276104799394E-2</v>
      </c>
      <c r="G1139" s="827">
        <v>5.5452727302894897E-2</v>
      </c>
    </row>
    <row r="1140" spans="1:7" x14ac:dyDescent="0.25">
      <c r="A1140" s="11" t="s">
        <v>6459</v>
      </c>
      <c r="B1140" s="11"/>
      <c r="C1140" s="828">
        <v>3</v>
      </c>
      <c r="D1140" s="828">
        <v>2016.2973558783999</v>
      </c>
      <c r="E1140" s="829">
        <v>1760.7172058538599</v>
      </c>
      <c r="F1140" s="830">
        <v>2.9614875241342799E-2</v>
      </c>
      <c r="G1140" s="831">
        <v>2.5844700683053098E-2</v>
      </c>
    </row>
    <row r="1141" spans="1:7" x14ac:dyDescent="0.25">
      <c r="A1141" s="6" t="s">
        <v>1193</v>
      </c>
      <c r="B1141" s="6"/>
      <c r="C1141" s="824">
        <v>4</v>
      </c>
      <c r="D1141" s="824">
        <v>1696.1908753316</v>
      </c>
      <c r="E1141" s="825">
        <v>1590.0424298237399</v>
      </c>
      <c r="F1141" s="826">
        <v>2.4913230685940001E-2</v>
      </c>
      <c r="G1141" s="827">
        <v>2.3343922185769701E-2</v>
      </c>
    </row>
    <row r="1142" spans="1:7" x14ac:dyDescent="0.25">
      <c r="A1142" s="11" t="s">
        <v>3244</v>
      </c>
      <c r="B1142" s="11"/>
      <c r="C1142" s="828">
        <v>1</v>
      </c>
      <c r="D1142" s="828">
        <v>814.96616488283701</v>
      </c>
      <c r="E1142" s="829">
        <v>802.08147763141403</v>
      </c>
      <c r="F1142" s="830">
        <v>1.1970020804995001E-2</v>
      </c>
      <c r="G1142" s="831">
        <v>1.17802485764477E-2</v>
      </c>
    </row>
    <row r="1143" spans="1:7" x14ac:dyDescent="0.25">
      <c r="A1143" s="6" t="s">
        <v>1129</v>
      </c>
      <c r="B1143" s="6"/>
      <c r="C1143" s="824">
        <v>4</v>
      </c>
      <c r="D1143" s="824">
        <v>174.85098513613499</v>
      </c>
      <c r="E1143" s="825">
        <v>190.803629552107</v>
      </c>
      <c r="F1143" s="826">
        <v>2.5681678823491999E-3</v>
      </c>
      <c r="G1143" s="827">
        <v>2.8020553219433799E-3</v>
      </c>
    </row>
    <row r="1144" spans="1:7" x14ac:dyDescent="0.25">
      <c r="A1144" s="11" t="s">
        <v>1131</v>
      </c>
      <c r="B1144" s="11"/>
      <c r="C1144" s="828">
        <v>2</v>
      </c>
      <c r="D1144" s="828">
        <v>97.466704813287905</v>
      </c>
      <c r="E1144" s="829">
        <v>100.406109909018</v>
      </c>
      <c r="F1144" s="830">
        <v>1.43156677501708E-3</v>
      </c>
      <c r="G1144" s="831">
        <v>1.47472664182835E-3</v>
      </c>
    </row>
    <row r="1145" spans="1:7" x14ac:dyDescent="0.25">
      <c r="A1145" s="6" t="s">
        <v>980</v>
      </c>
      <c r="B1145" s="6" t="s">
        <v>981</v>
      </c>
      <c r="C1145" s="824">
        <v>10</v>
      </c>
      <c r="D1145" s="824">
        <v>19671.111973026</v>
      </c>
      <c r="E1145" s="825">
        <v>13630.7935506715</v>
      </c>
      <c r="F1145" s="826">
        <v>100</v>
      </c>
      <c r="G1145" s="827">
        <v>0</v>
      </c>
    </row>
    <row r="1146" spans="1:7" x14ac:dyDescent="0.25">
      <c r="A1146" s="11" t="s">
        <v>6293</v>
      </c>
      <c r="B1146" s="11" t="s">
        <v>6294</v>
      </c>
      <c r="C1146" s="828">
        <v>6071</v>
      </c>
      <c r="D1146" s="828">
        <v>6808393.8880269798</v>
      </c>
      <c r="E1146" s="829">
        <v>13630.79355067</v>
      </c>
      <c r="F1146" s="830">
        <v>99.711907956748703</v>
      </c>
      <c r="G1146" s="831">
        <v>0.199628936611943</v>
      </c>
    </row>
    <row r="1147" spans="1:7" x14ac:dyDescent="0.25">
      <c r="A1147" s="6" t="s">
        <v>6293</v>
      </c>
      <c r="B1147" s="6" t="s">
        <v>6295</v>
      </c>
      <c r="C1147" s="824">
        <v>6081</v>
      </c>
      <c r="D1147" s="824">
        <v>6828065</v>
      </c>
      <c r="E1147" s="825">
        <v>0</v>
      </c>
      <c r="F1147" s="826">
        <v>100</v>
      </c>
      <c r="G1147" s="827">
        <v>0</v>
      </c>
    </row>
    <row r="1148" spans="1:7" x14ac:dyDescent="0.25">
      <c r="A1148" s="3353" t="s">
        <v>12</v>
      </c>
      <c r="B1148" s="3354"/>
      <c r="C1148" s="3354"/>
      <c r="D1148" s="3354"/>
      <c r="E1148" s="3354"/>
      <c r="F1148" s="3354"/>
      <c r="G1148" s="3354"/>
    </row>
    <row r="1149" spans="1:7" x14ac:dyDescent="0.25">
      <c r="A1149" s="11" t="s">
        <v>990</v>
      </c>
      <c r="B1149" s="11" t="s">
        <v>991</v>
      </c>
      <c r="C1149" s="836">
        <v>3</v>
      </c>
      <c r="D1149" s="836">
        <v>9853.97802236594</v>
      </c>
      <c r="E1149" s="837">
        <v>9556.2589808816392</v>
      </c>
      <c r="F1149" s="838">
        <v>50.0936502007523</v>
      </c>
      <c r="G1149" s="839">
        <v>48.725525399537197</v>
      </c>
    </row>
    <row r="1150" spans="1:7" x14ac:dyDescent="0.25">
      <c r="A1150" s="6" t="s">
        <v>992</v>
      </c>
      <c r="B1150" s="6" t="s">
        <v>993</v>
      </c>
      <c r="C1150" s="832">
        <v>2</v>
      </c>
      <c r="D1150" s="832">
        <v>6570.37163250709</v>
      </c>
      <c r="E1150" s="833">
        <v>6540.7367016176904</v>
      </c>
      <c r="F1150" s="834">
        <v>33.4011195783782</v>
      </c>
      <c r="G1150" s="835">
        <v>41.358847763779799</v>
      </c>
    </row>
    <row r="1151" spans="1:7" x14ac:dyDescent="0.25">
      <c r="A1151" s="11" t="s">
        <v>986</v>
      </c>
      <c r="B1151" s="11" t="s">
        <v>987</v>
      </c>
      <c r="C1151" s="836">
        <v>2</v>
      </c>
      <c r="D1151" s="836">
        <v>2059.1537045313798</v>
      </c>
      <c r="E1151" s="837">
        <v>2126.88229956224</v>
      </c>
      <c r="F1151" s="838">
        <v>10.4679069864225</v>
      </c>
      <c r="G1151" s="839">
        <v>18.112842159833601</v>
      </c>
    </row>
    <row r="1152" spans="1:7" x14ac:dyDescent="0.25">
      <c r="A1152" s="6" t="s">
        <v>984</v>
      </c>
      <c r="B1152" s="6" t="s">
        <v>985</v>
      </c>
      <c r="C1152" s="832">
        <v>2</v>
      </c>
      <c r="D1152" s="832">
        <v>1109.00384941215</v>
      </c>
      <c r="E1152" s="833">
        <v>1158.67752815167</v>
      </c>
      <c r="F1152" s="834">
        <v>5.6377283141536196</v>
      </c>
      <c r="G1152" s="835">
        <v>9.1661910200611896</v>
      </c>
    </row>
    <row r="1153" spans="1:7" x14ac:dyDescent="0.25">
      <c r="A1153" s="11" t="s">
        <v>994</v>
      </c>
      <c r="B1153" s="11" t="s">
        <v>995</v>
      </c>
      <c r="C1153" s="836">
        <v>1</v>
      </c>
      <c r="D1153" s="836">
        <v>78.604764209433696</v>
      </c>
      <c r="E1153" s="837">
        <v>79.597697200719196</v>
      </c>
      <c r="F1153" s="838">
        <v>0.39959492029337501</v>
      </c>
      <c r="G1153" s="839">
        <v>0.77306602828691795</v>
      </c>
    </row>
    <row r="1154" spans="1:7" x14ac:dyDescent="0.25">
      <c r="A1154" s="6" t="s">
        <v>982</v>
      </c>
      <c r="B1154" s="6" t="s">
        <v>983</v>
      </c>
      <c r="C1154" s="832">
        <v>6071</v>
      </c>
      <c r="D1154" s="832">
        <v>6808393.88802699</v>
      </c>
      <c r="E1154" s="833">
        <v>13630.793550655701</v>
      </c>
      <c r="F1154" s="834">
        <v>100</v>
      </c>
      <c r="G1154" s="835">
        <v>0</v>
      </c>
    </row>
    <row r="1155" spans="1:7" x14ac:dyDescent="0.25">
      <c r="A1155" s="11" t="s">
        <v>6293</v>
      </c>
      <c r="B1155" s="11" t="s">
        <v>6294</v>
      </c>
      <c r="C1155" s="836">
        <v>10</v>
      </c>
      <c r="D1155" s="836">
        <v>19671.111973026</v>
      </c>
      <c r="E1155" s="837">
        <v>13630.7935506715</v>
      </c>
      <c r="F1155" s="838">
        <v>0.28809204325128601</v>
      </c>
      <c r="G1155" s="839">
        <v>0.19962893661193101</v>
      </c>
    </row>
    <row r="1156" spans="1:7" x14ac:dyDescent="0.25">
      <c r="A1156" s="6" t="s">
        <v>6293</v>
      </c>
      <c r="B1156" s="6" t="s">
        <v>6295</v>
      </c>
      <c r="C1156" s="832">
        <v>6081</v>
      </c>
      <c r="D1156" s="832">
        <v>6828065.0000000196</v>
      </c>
      <c r="E1156" s="833">
        <v>0</v>
      </c>
      <c r="F1156" s="834">
        <v>100</v>
      </c>
      <c r="G1156" s="835">
        <v>0</v>
      </c>
    </row>
    <row r="1157" spans="1:7" x14ac:dyDescent="0.25">
      <c r="A1157" s="3353" t="s">
        <v>157</v>
      </c>
      <c r="B1157" s="3354"/>
      <c r="C1157" s="3354"/>
      <c r="D1157" s="3354"/>
      <c r="E1157" s="3354"/>
      <c r="F1157" s="3354"/>
      <c r="G1157" s="3354"/>
    </row>
    <row r="1158" spans="1:7" x14ac:dyDescent="0.25">
      <c r="A1158" s="11" t="s">
        <v>984</v>
      </c>
      <c r="B1158" s="11" t="s">
        <v>1061</v>
      </c>
      <c r="C1158" s="844">
        <v>4995</v>
      </c>
      <c r="D1158" s="844">
        <v>4692592.9346733699</v>
      </c>
      <c r="E1158" s="845">
        <v>68058.312402931799</v>
      </c>
      <c r="F1158" s="846">
        <v>68.727067547202694</v>
      </c>
      <c r="G1158" s="847">
        <v>0.99615353148339003</v>
      </c>
    </row>
    <row r="1159" spans="1:7" x14ac:dyDescent="0.25">
      <c r="A1159" s="6" t="s">
        <v>986</v>
      </c>
      <c r="B1159" s="6" t="s">
        <v>1062</v>
      </c>
      <c r="C1159" s="840">
        <v>1083</v>
      </c>
      <c r="D1159" s="840">
        <v>2135274.3120273999</v>
      </c>
      <c r="E1159" s="841">
        <v>67996.883628703901</v>
      </c>
      <c r="F1159" s="842">
        <v>31.272932452797299</v>
      </c>
      <c r="G1159" s="843">
        <v>0.99615353148338504</v>
      </c>
    </row>
    <row r="1160" spans="1:7" x14ac:dyDescent="0.25">
      <c r="A1160" s="11" t="s">
        <v>978</v>
      </c>
      <c r="B1160" s="11" t="s">
        <v>979</v>
      </c>
      <c r="C1160" s="844">
        <v>2</v>
      </c>
      <c r="D1160" s="844">
        <v>126.92629564395401</v>
      </c>
      <c r="E1160" s="845">
        <v>109.02275320323299</v>
      </c>
      <c r="F1160" s="846">
        <v>64.184160840521699</v>
      </c>
      <c r="G1160" s="847">
        <v>36.182905417233599</v>
      </c>
    </row>
    <row r="1161" spans="1:7" x14ac:dyDescent="0.25">
      <c r="A1161" s="6" t="s">
        <v>980</v>
      </c>
      <c r="B1161" s="6" t="s">
        <v>981</v>
      </c>
      <c r="C1161" s="840">
        <v>1</v>
      </c>
      <c r="D1161" s="840">
        <v>70.827003584071605</v>
      </c>
      <c r="E1161" s="841">
        <v>73.867266430674803</v>
      </c>
      <c r="F1161" s="842">
        <v>35.815839159478301</v>
      </c>
      <c r="G1161" s="843">
        <v>36.182905417233599</v>
      </c>
    </row>
    <row r="1162" spans="1:7" x14ac:dyDescent="0.25">
      <c r="A1162" s="11" t="s">
        <v>6293</v>
      </c>
      <c r="B1162" s="11" t="s">
        <v>6294</v>
      </c>
      <c r="C1162" s="844">
        <v>6078</v>
      </c>
      <c r="D1162" s="844">
        <v>6827867.2467007702</v>
      </c>
      <c r="E1162" s="845">
        <v>171.995801573671</v>
      </c>
      <c r="F1162" s="846">
        <v>99.997103816392695</v>
      </c>
      <c r="G1162" s="847">
        <v>2.5189537822495099E-3</v>
      </c>
    </row>
    <row r="1163" spans="1:7" x14ac:dyDescent="0.25">
      <c r="A1163" s="6" t="s">
        <v>6293</v>
      </c>
      <c r="B1163" s="6" t="s">
        <v>6295</v>
      </c>
      <c r="C1163" s="840">
        <v>6081</v>
      </c>
      <c r="D1163" s="840">
        <v>6828065</v>
      </c>
      <c r="E1163" s="841">
        <v>0</v>
      </c>
      <c r="F1163" s="842">
        <v>100</v>
      </c>
      <c r="G1163" s="843">
        <v>0</v>
      </c>
    </row>
    <row r="1164" spans="1:7" x14ac:dyDescent="0.25">
      <c r="A1164" s="3353" t="s">
        <v>166</v>
      </c>
      <c r="B1164" s="3354"/>
      <c r="C1164" s="3354"/>
      <c r="D1164" s="3354"/>
      <c r="E1164" s="3354"/>
      <c r="F1164" s="3354"/>
      <c r="G1164" s="3354"/>
    </row>
    <row r="1165" spans="1:7" x14ac:dyDescent="0.25">
      <c r="A1165" s="11" t="s">
        <v>984</v>
      </c>
      <c r="B1165" s="11" t="s">
        <v>1158</v>
      </c>
      <c r="C1165" s="852">
        <v>997</v>
      </c>
      <c r="D1165" s="852">
        <v>1927627.94184457</v>
      </c>
      <c r="E1165" s="853">
        <v>42943.8826831158</v>
      </c>
      <c r="F1165" s="854">
        <v>28.230954770415501</v>
      </c>
      <c r="G1165" s="855">
        <v>0.62893195485271103</v>
      </c>
    </row>
    <row r="1166" spans="1:7" x14ac:dyDescent="0.25">
      <c r="A1166" s="6" t="s">
        <v>988</v>
      </c>
      <c r="B1166" s="6" t="s">
        <v>1160</v>
      </c>
      <c r="C1166" s="848">
        <v>1928</v>
      </c>
      <c r="D1166" s="848">
        <v>1770499.0987720799</v>
      </c>
      <c r="E1166" s="849">
        <v>109713.447300011</v>
      </c>
      <c r="F1166" s="850">
        <v>25.929734101419399</v>
      </c>
      <c r="G1166" s="851">
        <v>1.60680144814104</v>
      </c>
    </row>
    <row r="1167" spans="1:7" x14ac:dyDescent="0.25">
      <c r="A1167" s="11" t="s">
        <v>986</v>
      </c>
      <c r="B1167" s="11" t="s">
        <v>1159</v>
      </c>
      <c r="C1167" s="852">
        <v>1197</v>
      </c>
      <c r="D1167" s="852">
        <v>1231587.7373842699</v>
      </c>
      <c r="E1167" s="853">
        <v>118347.142856099</v>
      </c>
      <c r="F1167" s="854">
        <v>18.037141377304799</v>
      </c>
      <c r="G1167" s="855">
        <v>1.7332456978089501</v>
      </c>
    </row>
    <row r="1168" spans="1:7" x14ac:dyDescent="0.25">
      <c r="A1168" s="6" t="s">
        <v>990</v>
      </c>
      <c r="B1168" s="6" t="s">
        <v>1161</v>
      </c>
      <c r="C1168" s="848">
        <v>1032</v>
      </c>
      <c r="D1168" s="848">
        <v>1097594.2995191601</v>
      </c>
      <c r="E1168" s="849">
        <v>91044.081886981396</v>
      </c>
      <c r="F1168" s="850">
        <v>16.074748842009601</v>
      </c>
      <c r="G1168" s="851">
        <v>1.3333804216418801</v>
      </c>
    </row>
    <row r="1169" spans="1:7" x14ac:dyDescent="0.25">
      <c r="A1169" s="11" t="s">
        <v>992</v>
      </c>
      <c r="B1169" s="11" t="s">
        <v>1162</v>
      </c>
      <c r="C1169" s="852">
        <v>926</v>
      </c>
      <c r="D1169" s="852">
        <v>800755.92247991904</v>
      </c>
      <c r="E1169" s="853">
        <v>58645.705633539801</v>
      </c>
      <c r="F1169" s="854">
        <v>11.7274209088507</v>
      </c>
      <c r="G1169" s="855">
        <v>0.858892023341019</v>
      </c>
    </row>
    <row r="1170" spans="1:7" x14ac:dyDescent="0.25">
      <c r="A1170" s="6" t="s">
        <v>6293</v>
      </c>
      <c r="B1170" s="6" t="s">
        <v>6294</v>
      </c>
      <c r="C1170" s="848">
        <v>6080</v>
      </c>
      <c r="D1170" s="848">
        <v>6828065</v>
      </c>
      <c r="E1170" s="849">
        <v>5.1344756774240301E-8</v>
      </c>
      <c r="F1170" s="850">
        <v>100</v>
      </c>
      <c r="G1170" s="851">
        <v>1.01753620972552E-13</v>
      </c>
    </row>
    <row r="1171" spans="1:7" x14ac:dyDescent="0.25">
      <c r="A1171" s="11" t="s">
        <v>6293</v>
      </c>
      <c r="B1171" s="11" t="s">
        <v>6295</v>
      </c>
      <c r="C1171" s="852">
        <v>6080</v>
      </c>
      <c r="D1171" s="852">
        <v>6828065</v>
      </c>
      <c r="E1171" s="853">
        <v>0</v>
      </c>
      <c r="F1171" s="854">
        <v>100</v>
      </c>
      <c r="G1171" s="855">
        <v>0</v>
      </c>
    </row>
    <row r="1172" spans="1:7" x14ac:dyDescent="0.25">
      <c r="A1172" s="3353" t="s">
        <v>568</v>
      </c>
      <c r="B1172" s="3354"/>
      <c r="C1172" s="3354"/>
      <c r="D1172" s="3354"/>
      <c r="E1172" s="3354"/>
      <c r="F1172" s="3354"/>
      <c r="G1172" s="3354"/>
    </row>
    <row r="1173" spans="1:7" x14ac:dyDescent="0.25">
      <c r="A1173" s="11" t="s">
        <v>986</v>
      </c>
      <c r="B1173" s="11" t="s">
        <v>6018</v>
      </c>
      <c r="C1173" s="860">
        <v>5235</v>
      </c>
      <c r="D1173" s="860">
        <v>4726384.7419389002</v>
      </c>
      <c r="E1173" s="861">
        <v>2020.3845441593801</v>
      </c>
      <c r="F1173" s="862">
        <v>69.2593650611539</v>
      </c>
      <c r="G1173" s="863">
        <v>1.37568651992514E-2</v>
      </c>
    </row>
    <row r="1174" spans="1:7" x14ac:dyDescent="0.25">
      <c r="A1174" s="6" t="s">
        <v>984</v>
      </c>
      <c r="B1174" s="6" t="s">
        <v>6017</v>
      </c>
      <c r="C1174" s="856">
        <v>823</v>
      </c>
      <c r="D1174" s="856">
        <v>2097796.7066863501</v>
      </c>
      <c r="E1174" s="857">
        <v>707.69903046155002</v>
      </c>
      <c r="F1174" s="858">
        <v>30.7406349388461</v>
      </c>
      <c r="G1174" s="859">
        <v>1.3756865199249299E-2</v>
      </c>
    </row>
    <row r="1175" spans="1:7" x14ac:dyDescent="0.25">
      <c r="A1175" s="11" t="s">
        <v>980</v>
      </c>
      <c r="B1175" s="11" t="s">
        <v>981</v>
      </c>
      <c r="C1175" s="860">
        <v>23</v>
      </c>
      <c r="D1175" s="860">
        <v>3883.5513747639602</v>
      </c>
      <c r="E1175" s="861">
        <v>1839.1689769459499</v>
      </c>
      <c r="F1175" s="862">
        <v>100</v>
      </c>
      <c r="G1175" s="863">
        <v>0</v>
      </c>
    </row>
    <row r="1176" spans="1:7" x14ac:dyDescent="0.25">
      <c r="A1176" s="6" t="s">
        <v>6293</v>
      </c>
      <c r="B1176" s="6" t="s">
        <v>6294</v>
      </c>
      <c r="C1176" s="856">
        <v>6058</v>
      </c>
      <c r="D1176" s="856">
        <v>6824181.4486252498</v>
      </c>
      <c r="E1176" s="857">
        <v>1839.16897695079</v>
      </c>
      <c r="F1176" s="858">
        <v>99.943123690609795</v>
      </c>
      <c r="G1176" s="859">
        <v>2.6935434518368301E-2</v>
      </c>
    </row>
    <row r="1177" spans="1:7" x14ac:dyDescent="0.25">
      <c r="A1177" s="11" t="s">
        <v>6293</v>
      </c>
      <c r="B1177" s="11" t="s">
        <v>6295</v>
      </c>
      <c r="C1177" s="860">
        <v>6081</v>
      </c>
      <c r="D1177" s="860">
        <v>6828065.0000000102</v>
      </c>
      <c r="E1177" s="861">
        <v>0</v>
      </c>
      <c r="F1177" s="862">
        <v>100</v>
      </c>
      <c r="G1177" s="863">
        <v>0</v>
      </c>
    </row>
    <row r="1178" spans="1:7" x14ac:dyDescent="0.25">
      <c r="A1178" s="3353" t="s">
        <v>580</v>
      </c>
      <c r="B1178" s="3354"/>
      <c r="C1178" s="3354"/>
      <c r="D1178" s="3354"/>
      <c r="E1178" s="3354"/>
      <c r="F1178" s="3354"/>
      <c r="G1178" s="3354"/>
    </row>
    <row r="1179" spans="1:7" x14ac:dyDescent="0.25">
      <c r="A1179" s="11" t="s">
        <v>984</v>
      </c>
      <c r="B1179" s="11" t="s">
        <v>6019</v>
      </c>
      <c r="C1179" s="868">
        <v>2987</v>
      </c>
      <c r="D1179" s="868">
        <v>2632541.61025621</v>
      </c>
      <c r="E1179" s="869">
        <v>44667.129451397799</v>
      </c>
      <c r="F1179" s="870">
        <v>38.6088149499978</v>
      </c>
      <c r="G1179" s="871">
        <v>0.66198045051663901</v>
      </c>
    </row>
    <row r="1180" spans="1:7" x14ac:dyDescent="0.25">
      <c r="A1180" s="6" t="s">
        <v>988</v>
      </c>
      <c r="B1180" s="6" t="s">
        <v>6021</v>
      </c>
      <c r="C1180" s="864">
        <v>1000</v>
      </c>
      <c r="D1180" s="864">
        <v>2048917.9916425699</v>
      </c>
      <c r="E1180" s="865">
        <v>86580.562725005802</v>
      </c>
      <c r="F1180" s="866">
        <v>30.049399895088499</v>
      </c>
      <c r="G1180" s="867">
        <v>1.2479308936469899</v>
      </c>
    </row>
    <row r="1181" spans="1:7" x14ac:dyDescent="0.25">
      <c r="A1181" s="11" t="s">
        <v>986</v>
      </c>
      <c r="B1181" s="11" t="s">
        <v>6020</v>
      </c>
      <c r="C1181" s="868">
        <v>1773</v>
      </c>
      <c r="D1181" s="868">
        <v>1538779.13978989</v>
      </c>
      <c r="E1181" s="869">
        <v>55473.717247986096</v>
      </c>
      <c r="F1181" s="870">
        <v>22.5677113043932</v>
      </c>
      <c r="G1181" s="871">
        <v>0.798647695694227</v>
      </c>
    </row>
    <row r="1182" spans="1:7" x14ac:dyDescent="0.25">
      <c r="A1182" s="6" t="s">
        <v>994</v>
      </c>
      <c r="B1182" s="6" t="s">
        <v>6024</v>
      </c>
      <c r="C1182" s="864">
        <v>125</v>
      </c>
      <c r="D1182" s="864">
        <v>278988.39866296097</v>
      </c>
      <c r="E1182" s="865">
        <v>59536.994923340899</v>
      </c>
      <c r="F1182" s="866">
        <v>4.09163958328703</v>
      </c>
      <c r="G1182" s="867">
        <v>0.87570069342047097</v>
      </c>
    </row>
    <row r="1183" spans="1:7" x14ac:dyDescent="0.25">
      <c r="A1183" s="11" t="s">
        <v>990</v>
      </c>
      <c r="B1183" s="11" t="s">
        <v>6022</v>
      </c>
      <c r="C1183" s="868">
        <v>63</v>
      </c>
      <c r="D1183" s="868">
        <v>124472.883911271</v>
      </c>
      <c r="E1183" s="869">
        <v>33641.322414895702</v>
      </c>
      <c r="F1183" s="870">
        <v>1.8255174096773701</v>
      </c>
      <c r="G1183" s="871">
        <v>0.49422790979962999</v>
      </c>
    </row>
    <row r="1184" spans="1:7" x14ac:dyDescent="0.25">
      <c r="A1184" s="6" t="s">
        <v>1003</v>
      </c>
      <c r="B1184" s="6" t="s">
        <v>6025</v>
      </c>
      <c r="C1184" s="864">
        <v>89</v>
      </c>
      <c r="D1184" s="864">
        <v>99318.442151768904</v>
      </c>
      <c r="E1184" s="865">
        <v>20077.912946083001</v>
      </c>
      <c r="F1184" s="866">
        <v>1.4566027519642899</v>
      </c>
      <c r="G1184" s="867">
        <v>0.29444927133881199</v>
      </c>
    </row>
    <row r="1185" spans="1:7" x14ac:dyDescent="0.25">
      <c r="A1185" s="11" t="s">
        <v>992</v>
      </c>
      <c r="B1185" s="11" t="s">
        <v>6023</v>
      </c>
      <c r="C1185" s="868">
        <v>43</v>
      </c>
      <c r="D1185" s="868">
        <v>95480.401436137399</v>
      </c>
      <c r="E1185" s="869">
        <v>26804.1562201493</v>
      </c>
      <c r="F1185" s="870">
        <v>1.40031410559188</v>
      </c>
      <c r="G1185" s="871">
        <v>0.39388516512821198</v>
      </c>
    </row>
    <row r="1186" spans="1:7" x14ac:dyDescent="0.25">
      <c r="A1186" s="6" t="s">
        <v>996</v>
      </c>
      <c r="B1186" s="6"/>
      <c r="C1186" s="864">
        <v>1</v>
      </c>
      <c r="D1186" s="864">
        <v>9566.1321492031893</v>
      </c>
      <c r="E1186" s="865">
        <v>9588.7557624523797</v>
      </c>
      <c r="F1186" s="866">
        <v>100</v>
      </c>
      <c r="G1186" s="867" t="e">
        <v>#NUM!</v>
      </c>
    </row>
    <row r="1187" spans="1:7" x14ac:dyDescent="0.25">
      <c r="A1187" s="11" t="s">
        <v>6293</v>
      </c>
      <c r="B1187" s="11" t="s">
        <v>6294</v>
      </c>
      <c r="C1187" s="868">
        <v>6080</v>
      </c>
      <c r="D1187" s="868">
        <v>6818498.8678508</v>
      </c>
      <c r="E1187" s="869">
        <v>9588.7557624424899</v>
      </c>
      <c r="F1187" s="870">
        <v>99.859899808376099</v>
      </c>
      <c r="G1187" s="871">
        <v>0.140431524340389</v>
      </c>
    </row>
    <row r="1188" spans="1:7" x14ac:dyDescent="0.25">
      <c r="A1188" s="6" t="s">
        <v>6293</v>
      </c>
      <c r="B1188" s="6" t="s">
        <v>6295</v>
      </c>
      <c r="C1188" s="864">
        <v>6081</v>
      </c>
      <c r="D1188" s="864">
        <v>6828065</v>
      </c>
      <c r="E1188" s="865">
        <v>0</v>
      </c>
      <c r="F1188" s="866">
        <v>100</v>
      </c>
      <c r="G1188" s="867">
        <v>0</v>
      </c>
    </row>
    <row r="1189" spans="1:7" x14ac:dyDescent="0.25">
      <c r="A1189" s="3353" t="s">
        <v>584</v>
      </c>
      <c r="B1189" s="3354"/>
      <c r="C1189" s="3354"/>
      <c r="D1189" s="3354"/>
      <c r="E1189" s="3354"/>
      <c r="F1189" s="3354"/>
      <c r="G1189" s="3354"/>
    </row>
    <row r="1190" spans="1:7" x14ac:dyDescent="0.25">
      <c r="A1190" s="11" t="s">
        <v>986</v>
      </c>
      <c r="B1190" s="11" t="s">
        <v>6027</v>
      </c>
      <c r="C1190" s="876">
        <v>3152</v>
      </c>
      <c r="D1190" s="876">
        <v>3440589.4906142298</v>
      </c>
      <c r="E1190" s="877">
        <v>90.981868038177097</v>
      </c>
      <c r="F1190" s="878">
        <v>50.460442156172398</v>
      </c>
      <c r="G1190" s="879">
        <v>7.0905490327356699E-2</v>
      </c>
    </row>
    <row r="1191" spans="1:7" x14ac:dyDescent="0.25">
      <c r="A1191" s="6" t="s">
        <v>984</v>
      </c>
      <c r="B1191" s="6" t="s">
        <v>6026</v>
      </c>
      <c r="C1191" s="872">
        <v>2926</v>
      </c>
      <c r="D1191" s="872">
        <v>3377800.0113361999</v>
      </c>
      <c r="E1191" s="873">
        <v>9590.6669718314406</v>
      </c>
      <c r="F1191" s="874">
        <v>49.539557843827602</v>
      </c>
      <c r="G1191" s="875">
        <v>7.0905490327360404E-2</v>
      </c>
    </row>
    <row r="1192" spans="1:7" x14ac:dyDescent="0.25">
      <c r="A1192" s="11" t="s">
        <v>980</v>
      </c>
      <c r="B1192" s="11" t="s">
        <v>1041</v>
      </c>
      <c r="C1192" s="876">
        <v>1</v>
      </c>
      <c r="D1192" s="876">
        <v>9585.0003075459299</v>
      </c>
      <c r="E1192" s="877">
        <v>9590.6742422117895</v>
      </c>
      <c r="F1192" s="878">
        <v>99.064670970399504</v>
      </c>
      <c r="G1192" s="879">
        <v>91.722155984284299</v>
      </c>
    </row>
    <row r="1193" spans="1:7" x14ac:dyDescent="0.25">
      <c r="A1193" s="6" t="s">
        <v>978</v>
      </c>
      <c r="B1193" s="6" t="s">
        <v>1047</v>
      </c>
      <c r="C1193" s="872">
        <v>2</v>
      </c>
      <c r="D1193" s="872">
        <v>90.497742015981899</v>
      </c>
      <c r="E1193" s="873">
        <v>90.982015620508705</v>
      </c>
      <c r="F1193" s="874">
        <v>0.93532902960049102</v>
      </c>
      <c r="G1193" s="875">
        <v>91.722155984284299</v>
      </c>
    </row>
    <row r="1194" spans="1:7" x14ac:dyDescent="0.25">
      <c r="A1194" s="11" t="s">
        <v>6293</v>
      </c>
      <c r="B1194" s="11" t="s">
        <v>6294</v>
      </c>
      <c r="C1194" s="876">
        <v>6078</v>
      </c>
      <c r="D1194" s="876">
        <v>6818389.5019504298</v>
      </c>
      <c r="E1194" s="877">
        <v>9589.7765795182495</v>
      </c>
      <c r="F1194" s="878">
        <v>99.858298096905003</v>
      </c>
      <c r="G1194" s="879">
        <v>0.14044647465299701</v>
      </c>
    </row>
    <row r="1195" spans="1:7" x14ac:dyDescent="0.25">
      <c r="A1195" s="6" t="s">
        <v>6293</v>
      </c>
      <c r="B1195" s="6" t="s">
        <v>6295</v>
      </c>
      <c r="C1195" s="872">
        <v>6081</v>
      </c>
      <c r="D1195" s="872">
        <v>6828064.9999999898</v>
      </c>
      <c r="E1195" s="873">
        <v>0</v>
      </c>
      <c r="F1195" s="874">
        <v>100</v>
      </c>
      <c r="G1195" s="875">
        <v>0</v>
      </c>
    </row>
    <row r="1196" spans="1:7" x14ac:dyDescent="0.25">
      <c r="A1196" s="3353" t="s">
        <v>576</v>
      </c>
      <c r="B1196" s="3354"/>
      <c r="C1196" s="3354"/>
      <c r="D1196" s="3354"/>
      <c r="E1196" s="3354"/>
      <c r="F1196" s="3354"/>
      <c r="G1196" s="3354"/>
    </row>
    <row r="1197" spans="1:7" x14ac:dyDescent="0.25">
      <c r="A1197" s="11" t="s">
        <v>984</v>
      </c>
      <c r="B1197" s="11" t="s">
        <v>3011</v>
      </c>
      <c r="C1197" s="884">
        <v>5212</v>
      </c>
      <c r="D1197" s="884">
        <v>5224334.6130497698</v>
      </c>
      <c r="E1197" s="885">
        <v>148159.02246685699</v>
      </c>
      <c r="F1197" s="886">
        <v>77.431875824983095</v>
      </c>
      <c r="G1197" s="887">
        <v>1.83688110032429</v>
      </c>
    </row>
    <row r="1198" spans="1:7" x14ac:dyDescent="0.25">
      <c r="A1198" s="6" t="s">
        <v>1005</v>
      </c>
      <c r="B1198" s="6" t="s">
        <v>3017</v>
      </c>
      <c r="C1198" s="880">
        <v>186</v>
      </c>
      <c r="D1198" s="880">
        <v>398982.121234558</v>
      </c>
      <c r="E1198" s="881">
        <v>87955.708996747693</v>
      </c>
      <c r="F1198" s="882">
        <v>5.9134677152288901</v>
      </c>
      <c r="G1198" s="883">
        <v>1.3252599947160499</v>
      </c>
    </row>
    <row r="1199" spans="1:7" x14ac:dyDescent="0.25">
      <c r="A1199" s="11" t="s">
        <v>986</v>
      </c>
      <c r="B1199" s="11" t="s">
        <v>3012</v>
      </c>
      <c r="C1199" s="884">
        <v>111</v>
      </c>
      <c r="D1199" s="884">
        <v>300684.96929857199</v>
      </c>
      <c r="E1199" s="885">
        <v>0.35281183724488901</v>
      </c>
      <c r="F1199" s="886">
        <v>4.4565677602289702</v>
      </c>
      <c r="G1199" s="887">
        <v>3.9170908472346097E-2</v>
      </c>
    </row>
    <row r="1200" spans="1:7" x14ac:dyDescent="0.25">
      <c r="A1200" s="6" t="s">
        <v>994</v>
      </c>
      <c r="B1200" s="6" t="s">
        <v>3016</v>
      </c>
      <c r="C1200" s="880">
        <v>203</v>
      </c>
      <c r="D1200" s="880">
        <v>294603.52241154597</v>
      </c>
      <c r="E1200" s="881">
        <v>43291.757838266902</v>
      </c>
      <c r="F1200" s="882">
        <v>4.3664322932134798</v>
      </c>
      <c r="G1200" s="883">
        <v>0.63857402333410596</v>
      </c>
    </row>
    <row r="1201" spans="1:7" x14ac:dyDescent="0.25">
      <c r="A1201" s="11" t="s">
        <v>988</v>
      </c>
      <c r="B1201" s="11" t="s">
        <v>3013</v>
      </c>
      <c r="C1201" s="884">
        <v>121</v>
      </c>
      <c r="D1201" s="884">
        <v>293145.73102465598</v>
      </c>
      <c r="E1201" s="885">
        <v>71868.610583660193</v>
      </c>
      <c r="F1201" s="886">
        <v>4.3448258054960798</v>
      </c>
      <c r="G1201" s="887">
        <v>1.0664188673313899</v>
      </c>
    </row>
    <row r="1202" spans="1:7" x14ac:dyDescent="0.25">
      <c r="A1202" s="6" t="s">
        <v>990</v>
      </c>
      <c r="B1202" s="6" t="s">
        <v>3014</v>
      </c>
      <c r="C1202" s="880">
        <v>165</v>
      </c>
      <c r="D1202" s="880">
        <v>167682.24203549899</v>
      </c>
      <c r="E1202" s="881">
        <v>32694.797743102099</v>
      </c>
      <c r="F1202" s="882">
        <v>2.4852831039794299</v>
      </c>
      <c r="G1202" s="883">
        <v>0.49116454658944603</v>
      </c>
    </row>
    <row r="1203" spans="1:7" x14ac:dyDescent="0.25">
      <c r="A1203" s="11" t="s">
        <v>992</v>
      </c>
      <c r="B1203" s="11" t="s">
        <v>3015</v>
      </c>
      <c r="C1203" s="884">
        <v>27</v>
      </c>
      <c r="D1203" s="884">
        <v>67574.486589196502</v>
      </c>
      <c r="E1203" s="885">
        <v>30810.6206946493</v>
      </c>
      <c r="F1203" s="886">
        <v>1.0015474968700699</v>
      </c>
      <c r="G1203" s="887">
        <v>0.45393481425659099</v>
      </c>
    </row>
    <row r="1204" spans="1:7" x14ac:dyDescent="0.25">
      <c r="A1204" s="6" t="s">
        <v>978</v>
      </c>
      <c r="B1204" s="6" t="s">
        <v>3010</v>
      </c>
      <c r="C1204" s="880">
        <v>8</v>
      </c>
      <c r="D1204" s="880">
        <v>50171.175682789297</v>
      </c>
      <c r="E1204" s="881">
        <v>46360.3361670796</v>
      </c>
      <c r="F1204" s="882">
        <v>61.895926458049502</v>
      </c>
      <c r="G1204" s="883">
        <v>45.552309247199503</v>
      </c>
    </row>
    <row r="1205" spans="1:7" x14ac:dyDescent="0.25">
      <c r="A1205" s="11" t="s">
        <v>980</v>
      </c>
      <c r="B1205" s="11" t="s">
        <v>3009</v>
      </c>
      <c r="C1205" s="884">
        <v>48</v>
      </c>
      <c r="D1205" s="884">
        <v>30886.138673419999</v>
      </c>
      <c r="E1205" s="885">
        <v>15913.3738008005</v>
      </c>
      <c r="F1205" s="886">
        <v>38.104073541950498</v>
      </c>
      <c r="G1205" s="887">
        <v>45.552309247199503</v>
      </c>
    </row>
    <row r="1206" spans="1:7" x14ac:dyDescent="0.25">
      <c r="A1206" s="6" t="s">
        <v>6293</v>
      </c>
      <c r="B1206" s="6" t="s">
        <v>6294</v>
      </c>
      <c r="C1206" s="880">
        <v>6025</v>
      </c>
      <c r="D1206" s="880">
        <v>6747007.6856437903</v>
      </c>
      <c r="E1206" s="881">
        <v>59806.690010376296</v>
      </c>
      <c r="F1206" s="882">
        <v>98.812880159222104</v>
      </c>
      <c r="G1206" s="883">
        <v>0.87589514760585097</v>
      </c>
    </row>
    <row r="1207" spans="1:7" x14ac:dyDescent="0.25">
      <c r="A1207" s="11" t="s">
        <v>6293</v>
      </c>
      <c r="B1207" s="11" t="s">
        <v>6295</v>
      </c>
      <c r="C1207" s="884">
        <v>6081</v>
      </c>
      <c r="D1207" s="884">
        <v>6828065</v>
      </c>
      <c r="E1207" s="885">
        <v>0</v>
      </c>
      <c r="F1207" s="886">
        <v>100</v>
      </c>
      <c r="G1207" s="887">
        <v>0</v>
      </c>
    </row>
    <row r="1208" spans="1:7" x14ac:dyDescent="0.25">
      <c r="A1208" s="3353" t="s">
        <v>507</v>
      </c>
      <c r="B1208" s="3354"/>
      <c r="C1208" s="3354"/>
      <c r="D1208" s="3354"/>
      <c r="E1208" s="3354"/>
      <c r="F1208" s="3354"/>
      <c r="G1208" s="3354"/>
    </row>
    <row r="1209" spans="1:7" x14ac:dyDescent="0.25">
      <c r="A1209" s="11" t="s">
        <v>984</v>
      </c>
      <c r="B1209" s="11" t="s">
        <v>6002</v>
      </c>
      <c r="C1209" s="892">
        <v>1850</v>
      </c>
      <c r="D1209" s="892">
        <v>2500201.0315199401</v>
      </c>
      <c r="E1209" s="893">
        <v>53259.2903249183</v>
      </c>
      <c r="F1209" s="894">
        <v>46.573192012427</v>
      </c>
      <c r="G1209" s="895">
        <v>0.97732442773311801</v>
      </c>
    </row>
    <row r="1210" spans="1:7" x14ac:dyDescent="0.25">
      <c r="A1210" s="6" t="s">
        <v>994</v>
      </c>
      <c r="B1210" s="6" t="s">
        <v>6007</v>
      </c>
      <c r="C1210" s="888">
        <v>2369</v>
      </c>
      <c r="D1210" s="888">
        <v>1093583.7737801599</v>
      </c>
      <c r="E1210" s="889">
        <v>43063.245762362101</v>
      </c>
      <c r="F1210" s="890">
        <v>20.371036742983499</v>
      </c>
      <c r="G1210" s="891">
        <v>0.81610526716077103</v>
      </c>
    </row>
    <row r="1211" spans="1:7" x14ac:dyDescent="0.25">
      <c r="A1211" s="11" t="s">
        <v>990</v>
      </c>
      <c r="B1211" s="11" t="s">
        <v>6005</v>
      </c>
      <c r="C1211" s="892">
        <v>371</v>
      </c>
      <c r="D1211" s="892">
        <v>479348.04373578599</v>
      </c>
      <c r="E1211" s="893">
        <v>51821.261263924702</v>
      </c>
      <c r="F1211" s="894">
        <v>8.9291893732705905</v>
      </c>
      <c r="G1211" s="895">
        <v>0.96770179415927304</v>
      </c>
    </row>
    <row r="1212" spans="1:7" x14ac:dyDescent="0.25">
      <c r="A1212" s="6" t="s">
        <v>992</v>
      </c>
      <c r="B1212" s="6" t="s">
        <v>6006</v>
      </c>
      <c r="C1212" s="888">
        <v>181</v>
      </c>
      <c r="D1212" s="888">
        <v>421840.85507736797</v>
      </c>
      <c r="E1212" s="889">
        <v>58391.805145332903</v>
      </c>
      <c r="F1212" s="890">
        <v>7.8579581779714198</v>
      </c>
      <c r="G1212" s="891">
        <v>1.06892514889168</v>
      </c>
    </row>
    <row r="1213" spans="1:7" x14ac:dyDescent="0.25">
      <c r="A1213" s="11" t="s">
        <v>1005</v>
      </c>
      <c r="B1213" s="11" t="s">
        <v>1037</v>
      </c>
      <c r="C1213" s="892">
        <v>307</v>
      </c>
      <c r="D1213" s="892">
        <v>372708.53084333602</v>
      </c>
      <c r="E1213" s="893">
        <v>50350.468084784799</v>
      </c>
      <c r="F1213" s="894">
        <v>6.9427321054594398</v>
      </c>
      <c r="G1213" s="895">
        <v>0.93950392570230201</v>
      </c>
    </row>
    <row r="1214" spans="1:7" x14ac:dyDescent="0.25">
      <c r="A1214" s="6" t="s">
        <v>988</v>
      </c>
      <c r="B1214" s="6" t="s">
        <v>6004</v>
      </c>
      <c r="C1214" s="888">
        <v>172</v>
      </c>
      <c r="D1214" s="888">
        <v>300964.83539825003</v>
      </c>
      <c r="E1214" s="889">
        <v>47879.397178552703</v>
      </c>
      <c r="F1214" s="890">
        <v>5.6063064094769803</v>
      </c>
      <c r="G1214" s="891">
        <v>0.89631671557054704</v>
      </c>
    </row>
    <row r="1215" spans="1:7" x14ac:dyDescent="0.25">
      <c r="A1215" s="11" t="s">
        <v>986</v>
      </c>
      <c r="B1215" s="11" t="s">
        <v>6003</v>
      </c>
      <c r="C1215" s="892">
        <v>136</v>
      </c>
      <c r="D1215" s="892">
        <v>199679.47864531699</v>
      </c>
      <c r="E1215" s="893">
        <v>39611.885429688002</v>
      </c>
      <c r="F1215" s="894">
        <v>3.7195851784110801</v>
      </c>
      <c r="G1215" s="895">
        <v>0.73878430521872895</v>
      </c>
    </row>
    <row r="1216" spans="1:7" x14ac:dyDescent="0.25">
      <c r="A1216" s="6" t="s">
        <v>982</v>
      </c>
      <c r="B1216" s="6" t="s">
        <v>983</v>
      </c>
      <c r="C1216" s="888">
        <v>695</v>
      </c>
      <c r="D1216" s="888">
        <v>1459738.4509998499</v>
      </c>
      <c r="E1216" s="889">
        <v>23352.768441193501</v>
      </c>
      <c r="F1216" s="890">
        <v>100</v>
      </c>
      <c r="G1216" s="891">
        <v>0</v>
      </c>
    </row>
    <row r="1217" spans="1:7" x14ac:dyDescent="0.25">
      <c r="A1217" s="11" t="s">
        <v>6293</v>
      </c>
      <c r="B1217" s="11" t="s">
        <v>6294</v>
      </c>
      <c r="C1217" s="892">
        <v>5386</v>
      </c>
      <c r="D1217" s="892">
        <v>5368326.5490001496</v>
      </c>
      <c r="E1217" s="893">
        <v>23352.7684411964</v>
      </c>
      <c r="F1217" s="894">
        <v>78.621491579241706</v>
      </c>
      <c r="G1217" s="895">
        <v>0.34201151338180702</v>
      </c>
    </row>
    <row r="1218" spans="1:7" x14ac:dyDescent="0.25">
      <c r="A1218" s="6" t="s">
        <v>6293</v>
      </c>
      <c r="B1218" s="6" t="s">
        <v>6295</v>
      </c>
      <c r="C1218" s="888">
        <v>6081</v>
      </c>
      <c r="D1218" s="888">
        <v>6828065</v>
      </c>
      <c r="E1218" s="889">
        <v>0</v>
      </c>
      <c r="F1218" s="890">
        <v>100</v>
      </c>
      <c r="G1218" s="891">
        <v>0</v>
      </c>
    </row>
    <row r="1219" spans="1:7" x14ac:dyDescent="0.25">
      <c r="A1219" s="3353" t="s">
        <v>488</v>
      </c>
      <c r="B1219" s="3354"/>
      <c r="C1219" s="3354"/>
      <c r="D1219" s="3354"/>
      <c r="E1219" s="3354"/>
      <c r="F1219" s="3354"/>
      <c r="G1219" s="3354"/>
    </row>
    <row r="1220" spans="1:7" x14ac:dyDescent="0.25">
      <c r="A1220" s="11" t="s">
        <v>986</v>
      </c>
      <c r="B1220" s="11" t="s">
        <v>1062</v>
      </c>
      <c r="C1220" s="900">
        <v>3247</v>
      </c>
      <c r="D1220" s="900">
        <v>2461725.5028349101</v>
      </c>
      <c r="E1220" s="901">
        <v>64985.669343067399</v>
      </c>
      <c r="F1220" s="902">
        <v>85.827667104453496</v>
      </c>
      <c r="G1220" s="903">
        <v>1.3479808470222501</v>
      </c>
    </row>
    <row r="1221" spans="1:7" x14ac:dyDescent="0.25">
      <c r="A1221" s="6" t="s">
        <v>984</v>
      </c>
      <c r="B1221" s="6" t="s">
        <v>1061</v>
      </c>
      <c r="C1221" s="896">
        <v>290</v>
      </c>
      <c r="D1221" s="896">
        <v>406493.552727854</v>
      </c>
      <c r="E1221" s="897">
        <v>38303.099340807603</v>
      </c>
      <c r="F1221" s="898">
        <v>14.1723328955465</v>
      </c>
      <c r="G1221" s="899">
        <v>1.3479808470222401</v>
      </c>
    </row>
    <row r="1222" spans="1:7" x14ac:dyDescent="0.25">
      <c r="A1222" s="11" t="s">
        <v>982</v>
      </c>
      <c r="B1222" s="11" t="s">
        <v>983</v>
      </c>
      <c r="C1222" s="900">
        <v>2544</v>
      </c>
      <c r="D1222" s="900">
        <v>3959845.9444372202</v>
      </c>
      <c r="E1222" s="901">
        <v>54383.865408341298</v>
      </c>
      <c r="F1222" s="902">
        <v>100</v>
      </c>
      <c r="G1222" s="903">
        <v>0</v>
      </c>
    </row>
    <row r="1223" spans="1:7" x14ac:dyDescent="0.25">
      <c r="A1223" s="6" t="s">
        <v>6293</v>
      </c>
      <c r="B1223" s="6" t="s">
        <v>6294</v>
      </c>
      <c r="C1223" s="896">
        <v>3537</v>
      </c>
      <c r="D1223" s="896">
        <v>2868219.05556277</v>
      </c>
      <c r="E1223" s="897">
        <v>54383.865408352103</v>
      </c>
      <c r="F1223" s="898">
        <v>42.006323249160197</v>
      </c>
      <c r="G1223" s="899">
        <v>0.79647550819079604</v>
      </c>
    </row>
    <row r="1224" spans="1:7" x14ac:dyDescent="0.25">
      <c r="A1224" s="11" t="s">
        <v>6293</v>
      </c>
      <c r="B1224" s="11" t="s">
        <v>6295</v>
      </c>
      <c r="C1224" s="900">
        <v>6081</v>
      </c>
      <c r="D1224" s="900">
        <v>6828064.9999999898</v>
      </c>
      <c r="E1224" s="901">
        <v>0</v>
      </c>
      <c r="F1224" s="902">
        <v>100</v>
      </c>
      <c r="G1224" s="903">
        <v>0</v>
      </c>
    </row>
    <row r="1225" spans="1:7" x14ac:dyDescent="0.25">
      <c r="A1225" s="3353" t="s">
        <v>213</v>
      </c>
      <c r="B1225" s="3354"/>
      <c r="C1225" s="3354"/>
      <c r="D1225" s="3354"/>
      <c r="E1225" s="3354"/>
      <c r="F1225" s="3354"/>
      <c r="G1225" s="3354"/>
    </row>
    <row r="1226" spans="1:7" x14ac:dyDescent="0.25">
      <c r="A1226" s="11" t="s">
        <v>986</v>
      </c>
      <c r="B1226" s="11" t="s">
        <v>1153</v>
      </c>
      <c r="C1226" s="908">
        <v>1913</v>
      </c>
      <c r="D1226" s="908">
        <v>2596210.29883418</v>
      </c>
      <c r="E1226" s="909">
        <v>72623.023714492898</v>
      </c>
      <c r="F1226" s="910">
        <v>89.318303784091498</v>
      </c>
      <c r="G1226" s="911">
        <v>1.5725840007576</v>
      </c>
    </row>
    <row r="1227" spans="1:7" x14ac:dyDescent="0.25">
      <c r="A1227" s="6" t="s">
        <v>984</v>
      </c>
      <c r="B1227" s="6" t="s">
        <v>1061</v>
      </c>
      <c r="C1227" s="904">
        <v>227</v>
      </c>
      <c r="D1227" s="904">
        <v>310484.28541361401</v>
      </c>
      <c r="E1227" s="905">
        <v>46559.570254751401</v>
      </c>
      <c r="F1227" s="906">
        <v>10.6816962159085</v>
      </c>
      <c r="G1227" s="907">
        <v>1.5725840007576</v>
      </c>
    </row>
    <row r="1228" spans="1:7" x14ac:dyDescent="0.25">
      <c r="A1228" s="11" t="s">
        <v>982</v>
      </c>
      <c r="B1228" s="11" t="s">
        <v>983</v>
      </c>
      <c r="C1228" s="908">
        <v>3941</v>
      </c>
      <c r="D1228" s="908">
        <v>3921370.4157522102</v>
      </c>
      <c r="E1228" s="909">
        <v>66252.325852430906</v>
      </c>
      <c r="F1228" s="910">
        <v>100</v>
      </c>
      <c r="G1228" s="911">
        <v>0</v>
      </c>
    </row>
    <row r="1229" spans="1:7" x14ac:dyDescent="0.25">
      <c r="A1229" s="6" t="s">
        <v>6293</v>
      </c>
      <c r="B1229" s="6" t="s">
        <v>6294</v>
      </c>
      <c r="C1229" s="904">
        <v>2140</v>
      </c>
      <c r="D1229" s="904">
        <v>2906694.5842477898</v>
      </c>
      <c r="E1229" s="905">
        <v>66252.325852433001</v>
      </c>
      <c r="F1229" s="906">
        <v>42.569814204284697</v>
      </c>
      <c r="G1229" s="907">
        <v>0.97029430523042903</v>
      </c>
    </row>
    <row r="1230" spans="1:7" x14ac:dyDescent="0.25">
      <c r="A1230" s="11" t="s">
        <v>6293</v>
      </c>
      <c r="B1230" s="11" t="s">
        <v>6295</v>
      </c>
      <c r="C1230" s="908">
        <v>6081</v>
      </c>
      <c r="D1230" s="908">
        <v>6828065</v>
      </c>
      <c r="E1230" s="909">
        <v>0</v>
      </c>
      <c r="F1230" s="910">
        <v>100</v>
      </c>
      <c r="G1230" s="911">
        <v>0</v>
      </c>
    </row>
    <row r="1231" spans="1:7" x14ac:dyDescent="0.25">
      <c r="A1231" s="3353" t="s">
        <v>938</v>
      </c>
      <c r="B1231" s="3354"/>
      <c r="C1231" s="3354"/>
      <c r="D1231" s="3354"/>
      <c r="E1231" s="3354"/>
      <c r="F1231" s="3354"/>
      <c r="G1231" s="3354"/>
    </row>
    <row r="1232" spans="1:7" x14ac:dyDescent="0.25">
      <c r="A1232" s="11" t="s">
        <v>986</v>
      </c>
      <c r="B1232" s="11" t="s">
        <v>1062</v>
      </c>
      <c r="C1232" s="916">
        <v>1762</v>
      </c>
      <c r="D1232" s="916">
        <v>2410459.1289305799</v>
      </c>
      <c r="E1232" s="917">
        <v>75635.501591110005</v>
      </c>
      <c r="F1232" s="918">
        <v>82.985683804796807</v>
      </c>
      <c r="G1232" s="919">
        <v>1.8475149650082801</v>
      </c>
    </row>
    <row r="1233" spans="1:7" x14ac:dyDescent="0.25">
      <c r="A1233" s="6" t="s">
        <v>984</v>
      </c>
      <c r="B1233" s="6" t="s">
        <v>1061</v>
      </c>
      <c r="C1233" s="912">
        <v>377</v>
      </c>
      <c r="D1233" s="912">
        <v>494209.50596382603</v>
      </c>
      <c r="E1233" s="913">
        <v>55287.392402332</v>
      </c>
      <c r="F1233" s="914">
        <v>17.0143161952032</v>
      </c>
      <c r="G1233" s="915">
        <v>1.8475149650082701</v>
      </c>
    </row>
    <row r="1234" spans="1:7" x14ac:dyDescent="0.25">
      <c r="A1234" s="11" t="s">
        <v>982</v>
      </c>
      <c r="B1234" s="11" t="s">
        <v>983</v>
      </c>
      <c r="C1234" s="916">
        <v>3941</v>
      </c>
      <c r="D1234" s="916">
        <v>3921370.4157522102</v>
      </c>
      <c r="E1234" s="917">
        <v>66252.325852430906</v>
      </c>
      <c r="F1234" s="918">
        <v>99.948362358404495</v>
      </c>
      <c r="G1234" s="919">
        <v>5.4026384879592E-2</v>
      </c>
    </row>
    <row r="1235" spans="1:7" x14ac:dyDescent="0.25">
      <c r="A1235" s="6" t="s">
        <v>978</v>
      </c>
      <c r="B1235" s="6" t="s">
        <v>1047</v>
      </c>
      <c r="C1235" s="912">
        <v>1</v>
      </c>
      <c r="D1235" s="912">
        <v>2025.94935338452</v>
      </c>
      <c r="E1235" s="913">
        <v>2132.48388741177</v>
      </c>
      <c r="F1235" s="914">
        <v>5.1637641595510701E-2</v>
      </c>
      <c r="G1235" s="915">
        <v>5.4026384879592097E-2</v>
      </c>
    </row>
    <row r="1236" spans="1:7" x14ac:dyDescent="0.25">
      <c r="A1236" s="11" t="s">
        <v>6293</v>
      </c>
      <c r="B1236" s="11" t="s">
        <v>6294</v>
      </c>
      <c r="C1236" s="916">
        <v>2139</v>
      </c>
      <c r="D1236" s="916">
        <v>2904668.6348944101</v>
      </c>
      <c r="E1236" s="917">
        <v>67916.340982713897</v>
      </c>
      <c r="F1236" s="918">
        <v>42.540143289415198</v>
      </c>
      <c r="G1236" s="919">
        <v>0.99466453501413299</v>
      </c>
    </row>
    <row r="1237" spans="1:7" x14ac:dyDescent="0.25">
      <c r="A1237" s="6" t="s">
        <v>6293</v>
      </c>
      <c r="B1237" s="6" t="s">
        <v>6295</v>
      </c>
      <c r="C1237" s="912">
        <v>6081</v>
      </c>
      <c r="D1237" s="912">
        <v>6828065</v>
      </c>
      <c r="E1237" s="913">
        <v>0</v>
      </c>
      <c r="F1237" s="914">
        <v>100</v>
      </c>
      <c r="G1237" s="915">
        <v>0</v>
      </c>
    </row>
    <row r="1238" spans="1:7" x14ac:dyDescent="0.25">
      <c r="A1238" s="3353" t="s">
        <v>918</v>
      </c>
      <c r="B1238" s="3354"/>
      <c r="C1238" s="3354"/>
      <c r="D1238" s="3354"/>
      <c r="E1238" s="3354"/>
      <c r="F1238" s="3354"/>
      <c r="G1238" s="3354"/>
    </row>
    <row r="1239" spans="1:7" x14ac:dyDescent="0.25">
      <c r="A1239" s="11" t="s">
        <v>984</v>
      </c>
      <c r="B1239" s="11" t="s">
        <v>6188</v>
      </c>
      <c r="C1239" s="924">
        <v>1577</v>
      </c>
      <c r="D1239" s="924">
        <v>2229259.68620566</v>
      </c>
      <c r="E1239" s="925">
        <v>81266.380594138594</v>
      </c>
      <c r="F1239" s="926">
        <v>76.721195949860402</v>
      </c>
      <c r="G1239" s="927">
        <v>1.9191600766525101</v>
      </c>
    </row>
    <row r="1240" spans="1:7" x14ac:dyDescent="0.25">
      <c r="A1240" s="6" t="s">
        <v>986</v>
      </c>
      <c r="B1240" s="6" t="s">
        <v>6189</v>
      </c>
      <c r="C1240" s="920">
        <v>561</v>
      </c>
      <c r="D1240" s="920">
        <v>676403.68179312395</v>
      </c>
      <c r="E1240" s="921">
        <v>55271.696168431597</v>
      </c>
      <c r="F1240" s="922">
        <v>23.278804050139598</v>
      </c>
      <c r="G1240" s="923">
        <v>1.9191600766525201</v>
      </c>
    </row>
    <row r="1241" spans="1:7" x14ac:dyDescent="0.25">
      <c r="A1241" s="11" t="s">
        <v>982</v>
      </c>
      <c r="B1241" s="11" t="s">
        <v>983</v>
      </c>
      <c r="C1241" s="924">
        <v>3941</v>
      </c>
      <c r="D1241" s="924">
        <v>3921370.4157522102</v>
      </c>
      <c r="E1241" s="925">
        <v>66252.325852430906</v>
      </c>
      <c r="F1241" s="926">
        <v>99.973709570162299</v>
      </c>
      <c r="G1241" s="927">
        <v>1.89589670165312E-2</v>
      </c>
    </row>
    <row r="1242" spans="1:7" x14ac:dyDescent="0.25">
      <c r="A1242" s="6" t="s">
        <v>978</v>
      </c>
      <c r="B1242" s="6" t="s">
        <v>979</v>
      </c>
      <c r="C1242" s="920">
        <v>1</v>
      </c>
      <c r="D1242" s="920">
        <v>635.54317037851297</v>
      </c>
      <c r="E1242" s="921">
        <v>663.07100758753802</v>
      </c>
      <c r="F1242" s="922">
        <v>1.62029090849184E-2</v>
      </c>
      <c r="G1242" s="923">
        <v>1.6918423314666E-2</v>
      </c>
    </row>
    <row r="1243" spans="1:7" x14ac:dyDescent="0.25">
      <c r="A1243" s="11" t="s">
        <v>980</v>
      </c>
      <c r="B1243" s="11" t="s">
        <v>981</v>
      </c>
      <c r="C1243" s="924">
        <v>1</v>
      </c>
      <c r="D1243" s="924">
        <v>395.67307863556499</v>
      </c>
      <c r="E1243" s="925">
        <v>407.15391835258498</v>
      </c>
      <c r="F1243" s="926">
        <v>1.0087520752781499E-2</v>
      </c>
      <c r="G1243" s="927">
        <v>1.0370407193104199E-2</v>
      </c>
    </row>
    <row r="1244" spans="1:7" x14ac:dyDescent="0.25">
      <c r="A1244" s="6" t="s">
        <v>6293</v>
      </c>
      <c r="B1244" s="6" t="s">
        <v>6294</v>
      </c>
      <c r="C1244" s="920">
        <v>2138</v>
      </c>
      <c r="D1244" s="920">
        <v>2905663.3679987802</v>
      </c>
      <c r="E1244" s="921">
        <v>65959.569863028606</v>
      </c>
      <c r="F1244" s="922">
        <v>42.554711591040501</v>
      </c>
      <c r="G1244" s="923">
        <v>0.96600676565071297</v>
      </c>
    </row>
    <row r="1245" spans="1:7" x14ac:dyDescent="0.25">
      <c r="A1245" s="11" t="s">
        <v>6293</v>
      </c>
      <c r="B1245" s="11" t="s">
        <v>6295</v>
      </c>
      <c r="C1245" s="924">
        <v>6081</v>
      </c>
      <c r="D1245" s="924">
        <v>6828065</v>
      </c>
      <c r="E1245" s="925">
        <v>0</v>
      </c>
      <c r="F1245" s="926">
        <v>100</v>
      </c>
      <c r="G1245" s="927">
        <v>0</v>
      </c>
    </row>
    <row r="1246" spans="1:7" x14ac:dyDescent="0.25">
      <c r="A1246" s="3353" t="s">
        <v>948</v>
      </c>
      <c r="B1246" s="3354"/>
      <c r="C1246" s="3354"/>
      <c r="D1246" s="3354"/>
      <c r="E1246" s="3354"/>
      <c r="F1246" s="3354"/>
      <c r="G1246" s="3354"/>
    </row>
    <row r="1247" spans="1:7" x14ac:dyDescent="0.25">
      <c r="A1247" s="11" t="s">
        <v>988</v>
      </c>
      <c r="B1247" s="11" t="s">
        <v>6056</v>
      </c>
      <c r="C1247" s="932">
        <v>1021</v>
      </c>
      <c r="D1247" s="932">
        <v>1460993.2569502101</v>
      </c>
      <c r="E1247" s="933">
        <v>62759.270624792101</v>
      </c>
      <c r="F1247" s="934">
        <v>60.559680559327298</v>
      </c>
      <c r="G1247" s="935">
        <v>1.6702717148835999</v>
      </c>
    </row>
    <row r="1248" spans="1:7" x14ac:dyDescent="0.25">
      <c r="A1248" s="6" t="s">
        <v>994</v>
      </c>
      <c r="B1248" s="6" t="s">
        <v>6058</v>
      </c>
      <c r="C1248" s="928">
        <v>297</v>
      </c>
      <c r="D1248" s="928">
        <v>333127.77407622698</v>
      </c>
      <c r="E1248" s="929">
        <v>33927.230471777599</v>
      </c>
      <c r="F1248" s="930">
        <v>13.808490550879799</v>
      </c>
      <c r="G1248" s="931">
        <v>1.2887511727227801</v>
      </c>
    </row>
    <row r="1249" spans="1:7" x14ac:dyDescent="0.25">
      <c r="A1249" s="11" t="s">
        <v>990</v>
      </c>
      <c r="B1249" s="11" t="s">
        <v>6057</v>
      </c>
      <c r="C1249" s="932">
        <v>244</v>
      </c>
      <c r="D1249" s="932">
        <v>304081.00593192398</v>
      </c>
      <c r="E1249" s="933">
        <v>36649.140834638703</v>
      </c>
      <c r="F1249" s="934">
        <v>12.6044719890339</v>
      </c>
      <c r="G1249" s="935">
        <v>1.3752438700425</v>
      </c>
    </row>
    <row r="1250" spans="1:7" x14ac:dyDescent="0.25">
      <c r="A1250" s="6" t="s">
        <v>1019</v>
      </c>
      <c r="B1250" s="6" t="s">
        <v>6083</v>
      </c>
      <c r="C1250" s="928">
        <v>25</v>
      </c>
      <c r="D1250" s="928">
        <v>91310.832150227099</v>
      </c>
      <c r="E1250" s="929">
        <v>29122.400066122002</v>
      </c>
      <c r="F1250" s="930">
        <v>3.7849283700099701</v>
      </c>
      <c r="G1250" s="931">
        <v>1.24477979496596</v>
      </c>
    </row>
    <row r="1251" spans="1:7" x14ac:dyDescent="0.25">
      <c r="A1251" s="11" t="s">
        <v>984</v>
      </c>
      <c r="B1251" s="11" t="s">
        <v>853</v>
      </c>
      <c r="C1251" s="932">
        <v>50</v>
      </c>
      <c r="D1251" s="932">
        <v>54612.343606706097</v>
      </c>
      <c r="E1251" s="933">
        <v>13121.1550106505</v>
      </c>
      <c r="F1251" s="934">
        <v>2.2637380889233301</v>
      </c>
      <c r="G1251" s="935">
        <v>0.56990558875917796</v>
      </c>
    </row>
    <row r="1252" spans="1:7" x14ac:dyDescent="0.25">
      <c r="A1252" s="6" t="s">
        <v>992</v>
      </c>
      <c r="B1252" s="6" t="s">
        <v>6077</v>
      </c>
      <c r="C1252" s="928">
        <v>47</v>
      </c>
      <c r="D1252" s="928">
        <v>49388.221247425303</v>
      </c>
      <c r="E1252" s="929">
        <v>21193.884053846399</v>
      </c>
      <c r="F1252" s="930">
        <v>2.0471928175637002</v>
      </c>
      <c r="G1252" s="931">
        <v>0.86173998236848504</v>
      </c>
    </row>
    <row r="1253" spans="1:7" x14ac:dyDescent="0.25">
      <c r="A1253" s="11" t="s">
        <v>986</v>
      </c>
      <c r="B1253" s="11" t="s">
        <v>1001</v>
      </c>
      <c r="C1253" s="932">
        <v>24</v>
      </c>
      <c r="D1253" s="932">
        <v>30234.589884985999</v>
      </c>
      <c r="E1253" s="933">
        <v>11587.931930947099</v>
      </c>
      <c r="F1253" s="934">
        <v>1.2532550007104</v>
      </c>
      <c r="G1253" s="935">
        <v>0.46663182019698402</v>
      </c>
    </row>
    <row r="1254" spans="1:7" x14ac:dyDescent="0.25">
      <c r="A1254" s="6" t="s">
        <v>1035</v>
      </c>
      <c r="B1254" s="6" t="s">
        <v>3129</v>
      </c>
      <c r="C1254" s="928">
        <v>8</v>
      </c>
      <c r="D1254" s="928">
        <v>16963.077038969099</v>
      </c>
      <c r="E1254" s="929">
        <v>11044.919037723501</v>
      </c>
      <c r="F1254" s="930">
        <v>0.70313707602432896</v>
      </c>
      <c r="G1254" s="931">
        <v>0.46460993123893901</v>
      </c>
    </row>
    <row r="1255" spans="1:7" x14ac:dyDescent="0.25">
      <c r="A1255" s="11" t="s">
        <v>1005</v>
      </c>
      <c r="B1255" s="11" t="s">
        <v>1006</v>
      </c>
      <c r="C1255" s="932">
        <v>10</v>
      </c>
      <c r="D1255" s="932">
        <v>15383.686370468</v>
      </c>
      <c r="E1255" s="933">
        <v>8455.4334386833998</v>
      </c>
      <c r="F1255" s="934">
        <v>0.63766970038258597</v>
      </c>
      <c r="G1255" s="935">
        <v>0.34702431321985899</v>
      </c>
    </row>
    <row r="1256" spans="1:7" x14ac:dyDescent="0.25">
      <c r="A1256" s="6" t="s">
        <v>1013</v>
      </c>
      <c r="B1256" s="6" t="s">
        <v>6060</v>
      </c>
      <c r="C1256" s="928">
        <v>16</v>
      </c>
      <c r="D1256" s="928">
        <v>13525.876183857799</v>
      </c>
      <c r="E1256" s="929">
        <v>5773.9334141035897</v>
      </c>
      <c r="F1256" s="930">
        <v>0.56066154794536405</v>
      </c>
      <c r="G1256" s="931">
        <v>0.244834466453486</v>
      </c>
    </row>
    <row r="1257" spans="1:7" x14ac:dyDescent="0.25">
      <c r="A1257" s="11" t="s">
        <v>1029</v>
      </c>
      <c r="B1257" s="11" t="s">
        <v>6085</v>
      </c>
      <c r="C1257" s="932">
        <v>3</v>
      </c>
      <c r="D1257" s="932">
        <v>12679.8161134812</v>
      </c>
      <c r="E1257" s="933">
        <v>7514.8345970688197</v>
      </c>
      <c r="F1257" s="934">
        <v>0.525591483554398</v>
      </c>
      <c r="G1257" s="935">
        <v>0.31257983146913898</v>
      </c>
    </row>
    <row r="1258" spans="1:7" x14ac:dyDescent="0.25">
      <c r="A1258" s="6" t="s">
        <v>1031</v>
      </c>
      <c r="B1258" s="6" t="s">
        <v>6069</v>
      </c>
      <c r="C1258" s="928">
        <v>3</v>
      </c>
      <c r="D1258" s="928">
        <v>10237.4692951737</v>
      </c>
      <c r="E1258" s="929">
        <v>10537.215823295501</v>
      </c>
      <c r="F1258" s="930">
        <v>0.42435368356581599</v>
      </c>
      <c r="G1258" s="931">
        <v>0.438918643464209</v>
      </c>
    </row>
    <row r="1259" spans="1:7" x14ac:dyDescent="0.25">
      <c r="A1259" s="11" t="s">
        <v>1003</v>
      </c>
      <c r="B1259" s="11" t="s">
        <v>6059</v>
      </c>
      <c r="C1259" s="932">
        <v>8</v>
      </c>
      <c r="D1259" s="932">
        <v>7836.6138581765999</v>
      </c>
      <c r="E1259" s="933">
        <v>6847.6107552840003</v>
      </c>
      <c r="F1259" s="934">
        <v>0.324835744217365</v>
      </c>
      <c r="G1259" s="935">
        <v>0.28346545410074098</v>
      </c>
    </row>
    <row r="1260" spans="1:7" x14ac:dyDescent="0.25">
      <c r="A1260" s="6" t="s">
        <v>1025</v>
      </c>
      <c r="B1260" s="6" t="s">
        <v>6190</v>
      </c>
      <c r="C1260" s="928">
        <v>1</v>
      </c>
      <c r="D1260" s="928">
        <v>5460.1241203218497</v>
      </c>
      <c r="E1260" s="929">
        <v>5433.7077520522098</v>
      </c>
      <c r="F1260" s="930">
        <v>0.22632778828235101</v>
      </c>
      <c r="G1260" s="931">
        <v>0.22524188792879599</v>
      </c>
    </row>
    <row r="1261" spans="1:7" x14ac:dyDescent="0.25">
      <c r="A1261" s="11" t="s">
        <v>1017</v>
      </c>
      <c r="B1261" s="11" t="s">
        <v>6062</v>
      </c>
      <c r="C1261" s="932">
        <v>3</v>
      </c>
      <c r="D1261" s="932">
        <v>4066.80420885373</v>
      </c>
      <c r="E1261" s="933">
        <v>4224.5330715796099</v>
      </c>
      <c r="F1261" s="934">
        <v>0.16857323783931999</v>
      </c>
      <c r="G1261" s="935">
        <v>0.17534903793251999</v>
      </c>
    </row>
    <row r="1262" spans="1:7" x14ac:dyDescent="0.25">
      <c r="A1262" s="6" t="s">
        <v>1023</v>
      </c>
      <c r="B1262" s="6" t="s">
        <v>6084</v>
      </c>
      <c r="C1262" s="928">
        <v>2</v>
      </c>
      <c r="D1262" s="928">
        <v>2130.84695087505</v>
      </c>
      <c r="E1262" s="929">
        <v>2176.3477363274301</v>
      </c>
      <c r="F1262" s="930">
        <v>8.8325808522336902E-2</v>
      </c>
      <c r="G1262" s="931">
        <v>9.0420205696818495E-2</v>
      </c>
    </row>
    <row r="1263" spans="1:7" x14ac:dyDescent="0.25">
      <c r="A1263" s="11" t="s">
        <v>1033</v>
      </c>
      <c r="B1263" s="11" t="s">
        <v>1000</v>
      </c>
      <c r="C1263" s="932">
        <v>1</v>
      </c>
      <c r="D1263" s="932">
        <v>452.74029608632799</v>
      </c>
      <c r="E1263" s="933">
        <v>467.25542403654703</v>
      </c>
      <c r="F1263" s="934">
        <v>1.87665532177454E-2</v>
      </c>
      <c r="G1263" s="935">
        <v>1.9368306551730601E-2</v>
      </c>
    </row>
    <row r="1264" spans="1:7" x14ac:dyDescent="0.25">
      <c r="A1264" s="6" t="s">
        <v>982</v>
      </c>
      <c r="B1264" s="6" t="s">
        <v>983</v>
      </c>
      <c r="C1264" s="928">
        <v>4318</v>
      </c>
      <c r="D1264" s="928">
        <v>4415579.92171604</v>
      </c>
      <c r="E1264" s="929">
        <v>74707.542957643207</v>
      </c>
      <c r="F1264" s="930">
        <v>100</v>
      </c>
      <c r="G1264" s="931">
        <v>0</v>
      </c>
    </row>
    <row r="1265" spans="1:7" x14ac:dyDescent="0.25">
      <c r="A1265" s="11" t="s">
        <v>6293</v>
      </c>
      <c r="B1265" s="11" t="s">
        <v>6294</v>
      </c>
      <c r="C1265" s="932">
        <v>1763</v>
      </c>
      <c r="D1265" s="932">
        <v>2412485.0782839698</v>
      </c>
      <c r="E1265" s="933">
        <v>74707.542957641796</v>
      </c>
      <c r="F1265" s="934">
        <v>35.331899715131101</v>
      </c>
      <c r="G1265" s="935">
        <v>1.09412465988011</v>
      </c>
    </row>
    <row r="1266" spans="1:7" x14ac:dyDescent="0.25">
      <c r="A1266" s="6" t="s">
        <v>6293</v>
      </c>
      <c r="B1266" s="6" t="s">
        <v>6295</v>
      </c>
      <c r="C1266" s="928">
        <v>6081</v>
      </c>
      <c r="D1266" s="928">
        <v>6828065.0000000102</v>
      </c>
      <c r="E1266" s="929">
        <v>0</v>
      </c>
      <c r="F1266" s="930">
        <v>100</v>
      </c>
      <c r="G1266" s="931">
        <v>0</v>
      </c>
    </row>
    <row r="1267" spans="1:7" x14ac:dyDescent="0.25">
      <c r="A1267" s="3353" t="s">
        <v>951</v>
      </c>
      <c r="B1267" s="3354"/>
      <c r="C1267" s="3354"/>
      <c r="D1267" s="3354"/>
      <c r="E1267" s="3354"/>
      <c r="F1267" s="3354"/>
      <c r="G1267" s="3354"/>
    </row>
    <row r="1268" spans="1:7" x14ac:dyDescent="0.25">
      <c r="A1268" s="11" t="s">
        <v>6460</v>
      </c>
      <c r="B1268" s="11"/>
      <c r="C1268" s="940">
        <v>2</v>
      </c>
      <c r="D1268" s="940">
        <v>7622.9663019300897</v>
      </c>
      <c r="E1268" s="941">
        <v>7848.7910451665903</v>
      </c>
      <c r="F1268" s="942">
        <v>49.552273222131397</v>
      </c>
      <c r="G1268" s="943">
        <v>48.895480388194898</v>
      </c>
    </row>
    <row r="1269" spans="1:7" x14ac:dyDescent="0.25">
      <c r="A1269" s="6" t="s">
        <v>6461</v>
      </c>
      <c r="B1269" s="6"/>
      <c r="C1269" s="936">
        <v>2</v>
      </c>
      <c r="D1269" s="936">
        <v>3545.6366226852201</v>
      </c>
      <c r="E1269" s="937">
        <v>3314.5842456809501</v>
      </c>
      <c r="F1269" s="938">
        <v>23.048029823929401</v>
      </c>
      <c r="G1269" s="939">
        <v>30.386743276129199</v>
      </c>
    </row>
    <row r="1270" spans="1:7" x14ac:dyDescent="0.25">
      <c r="A1270" s="11" t="s">
        <v>6462</v>
      </c>
      <c r="B1270" s="11"/>
      <c r="C1270" s="940">
        <v>2</v>
      </c>
      <c r="D1270" s="940">
        <v>2826.7713528944801</v>
      </c>
      <c r="E1270" s="941">
        <v>2121.1831079748799</v>
      </c>
      <c r="F1270" s="942">
        <v>18.375123392537599</v>
      </c>
      <c r="G1270" s="943">
        <v>22.251698763718899</v>
      </c>
    </row>
    <row r="1271" spans="1:7" x14ac:dyDescent="0.25">
      <c r="A1271" s="6" t="s">
        <v>6463</v>
      </c>
      <c r="B1271" s="6"/>
      <c r="C1271" s="936">
        <v>1</v>
      </c>
      <c r="D1271" s="936">
        <v>1344.9842134847099</v>
      </c>
      <c r="E1271" s="937">
        <v>1396.7805596735</v>
      </c>
      <c r="F1271" s="938">
        <v>8.7429253372369296</v>
      </c>
      <c r="G1271" s="939">
        <v>11.273100739095</v>
      </c>
    </row>
    <row r="1272" spans="1:7" x14ac:dyDescent="0.25">
      <c r="A1272" s="11" t="s">
        <v>6464</v>
      </c>
      <c r="B1272" s="11"/>
      <c r="C1272" s="940">
        <v>2</v>
      </c>
      <c r="D1272" s="940">
        <v>43.3278794734832</v>
      </c>
      <c r="E1272" s="941">
        <v>44.300781738185499</v>
      </c>
      <c r="F1272" s="942">
        <v>0.28164822416465501</v>
      </c>
      <c r="G1272" s="943">
        <v>0.368089419115668</v>
      </c>
    </row>
    <row r="1273" spans="1:7" x14ac:dyDescent="0.25">
      <c r="A1273" s="6" t="s">
        <v>982</v>
      </c>
      <c r="B1273" s="6" t="s">
        <v>983</v>
      </c>
      <c r="C1273" s="936">
        <v>6071</v>
      </c>
      <c r="D1273" s="936">
        <v>6812681.3136295499</v>
      </c>
      <c r="E1273" s="937">
        <v>8455.4334386843293</v>
      </c>
      <c r="F1273" s="938">
        <v>100</v>
      </c>
      <c r="G1273" s="939">
        <v>0</v>
      </c>
    </row>
    <row r="1274" spans="1:7" x14ac:dyDescent="0.25">
      <c r="A1274" s="11" t="s">
        <v>6293</v>
      </c>
      <c r="B1274" s="11" t="s">
        <v>6294</v>
      </c>
      <c r="C1274" s="940">
        <v>9</v>
      </c>
      <c r="D1274" s="940">
        <v>15383.686370468</v>
      </c>
      <c r="E1274" s="941">
        <v>8455.4334386833998</v>
      </c>
      <c r="F1274" s="942">
        <v>0.22530081905295199</v>
      </c>
      <c r="G1274" s="943">
        <v>0.12383352294805899</v>
      </c>
    </row>
    <row r="1275" spans="1:7" x14ac:dyDescent="0.25">
      <c r="A1275" s="6" t="s">
        <v>6293</v>
      </c>
      <c r="B1275" s="6" t="s">
        <v>6295</v>
      </c>
      <c r="C1275" s="936">
        <v>6080</v>
      </c>
      <c r="D1275" s="936">
        <v>6828065.0000000196</v>
      </c>
      <c r="E1275" s="937">
        <v>0</v>
      </c>
      <c r="F1275" s="938">
        <v>100</v>
      </c>
      <c r="G1275" s="939">
        <v>0</v>
      </c>
    </row>
    <row r="1276" spans="1:7" x14ac:dyDescent="0.25">
      <c r="A1276" s="3353" t="s">
        <v>377</v>
      </c>
      <c r="B1276" s="3354"/>
      <c r="C1276" s="3354"/>
      <c r="D1276" s="3354"/>
      <c r="E1276" s="3354"/>
      <c r="F1276" s="3354"/>
      <c r="G1276" s="3354"/>
    </row>
    <row r="1277" spans="1:7" x14ac:dyDescent="0.25">
      <c r="A1277" s="11" t="s">
        <v>984</v>
      </c>
      <c r="B1277" s="11" t="s">
        <v>3144</v>
      </c>
      <c r="C1277" s="948">
        <v>453</v>
      </c>
      <c r="D1277" s="948">
        <v>464400.13530008902</v>
      </c>
      <c r="E1277" s="949">
        <v>64698.008928903997</v>
      </c>
      <c r="F1277" s="950">
        <v>45.427103693520799</v>
      </c>
      <c r="G1277" s="951">
        <v>5.4806581907105301</v>
      </c>
    </row>
    <row r="1278" spans="1:7" x14ac:dyDescent="0.25">
      <c r="A1278" s="6" t="s">
        <v>986</v>
      </c>
      <c r="B1278" s="6" t="s">
        <v>3145</v>
      </c>
      <c r="C1278" s="944">
        <v>410</v>
      </c>
      <c r="D1278" s="944">
        <v>357784.84368053899</v>
      </c>
      <c r="E1278" s="945">
        <v>53933.3384402847</v>
      </c>
      <c r="F1278" s="946">
        <v>34.9981146825968</v>
      </c>
      <c r="G1278" s="947">
        <v>5.6087697406276904</v>
      </c>
    </row>
    <row r="1279" spans="1:7" x14ac:dyDescent="0.25">
      <c r="A1279" s="11" t="s">
        <v>988</v>
      </c>
      <c r="B1279" s="11" t="s">
        <v>3146</v>
      </c>
      <c r="C1279" s="948">
        <v>97</v>
      </c>
      <c r="D1279" s="948">
        <v>73225.681545603205</v>
      </c>
      <c r="E1279" s="949">
        <v>17765.700896034101</v>
      </c>
      <c r="F1279" s="950">
        <v>7.1628545638802503</v>
      </c>
      <c r="G1279" s="951">
        <v>1.7455942132859901</v>
      </c>
    </row>
    <row r="1280" spans="1:7" x14ac:dyDescent="0.25">
      <c r="A1280" s="6" t="s">
        <v>992</v>
      </c>
      <c r="B1280" s="6" t="s">
        <v>3148</v>
      </c>
      <c r="C1280" s="944">
        <v>45</v>
      </c>
      <c r="D1280" s="944">
        <v>64192.662267550797</v>
      </c>
      <c r="E1280" s="945">
        <v>35812.430231673097</v>
      </c>
      <c r="F1280" s="946">
        <v>6.2792546847706197</v>
      </c>
      <c r="G1280" s="947">
        <v>3.43648604642783</v>
      </c>
    </row>
    <row r="1281" spans="1:7" x14ac:dyDescent="0.25">
      <c r="A1281" s="11" t="s">
        <v>990</v>
      </c>
      <c r="B1281" s="11" t="s">
        <v>3147</v>
      </c>
      <c r="C1281" s="948">
        <v>86</v>
      </c>
      <c r="D1281" s="948">
        <v>62694.155014219701</v>
      </c>
      <c r="E1281" s="949">
        <v>14003.4211693286</v>
      </c>
      <c r="F1281" s="950">
        <v>6.1326723752314898</v>
      </c>
      <c r="G1281" s="951">
        <v>1.2752582798830201</v>
      </c>
    </row>
    <row r="1282" spans="1:7" x14ac:dyDescent="0.25">
      <c r="A1282" s="6" t="s">
        <v>996</v>
      </c>
      <c r="B1282" s="6" t="s">
        <v>997</v>
      </c>
      <c r="C1282" s="944">
        <v>4763</v>
      </c>
      <c r="D1282" s="944">
        <v>5347456.4133406496</v>
      </c>
      <c r="E1282" s="945">
        <v>59048.632175350802</v>
      </c>
      <c r="F1282" s="946">
        <v>92.105934192171901</v>
      </c>
      <c r="G1282" s="947">
        <v>0.19974959081388299</v>
      </c>
    </row>
    <row r="1283" spans="1:7" x14ac:dyDescent="0.25">
      <c r="A1283" s="11" t="s">
        <v>982</v>
      </c>
      <c r="B1283" s="11"/>
      <c r="C1283" s="948">
        <v>204</v>
      </c>
      <c r="D1283" s="948">
        <v>429859.990420477</v>
      </c>
      <c r="E1283" s="949">
        <v>8.2760638930812896E-2</v>
      </c>
      <c r="F1283" s="950">
        <v>7.4040165882870301</v>
      </c>
      <c r="G1283" s="951">
        <v>7.3491972066401998E-2</v>
      </c>
    </row>
    <row r="1284" spans="1:7" x14ac:dyDescent="0.25">
      <c r="A1284" s="6" t="s">
        <v>978</v>
      </c>
      <c r="B1284" s="6" t="s">
        <v>979</v>
      </c>
      <c r="C1284" s="944">
        <v>20</v>
      </c>
      <c r="D1284" s="944">
        <v>20878.187104827601</v>
      </c>
      <c r="E1284" s="945">
        <v>10558.023140902</v>
      </c>
      <c r="F1284" s="946">
        <v>0.359611145727464</v>
      </c>
      <c r="G1284" s="947">
        <v>0.18135420360429</v>
      </c>
    </row>
    <row r="1285" spans="1:7" x14ac:dyDescent="0.25">
      <c r="A1285" s="11" t="s">
        <v>980</v>
      </c>
      <c r="B1285" s="11" t="s">
        <v>981</v>
      </c>
      <c r="C1285" s="948">
        <v>3</v>
      </c>
      <c r="D1285" s="948">
        <v>7572.9313260423896</v>
      </c>
      <c r="E1285" s="949">
        <v>7466.1737111462298</v>
      </c>
      <c r="F1285" s="950">
        <v>0.13043807381359299</v>
      </c>
      <c r="G1285" s="951">
        <v>0.128723367932875</v>
      </c>
    </row>
    <row r="1286" spans="1:7" x14ac:dyDescent="0.25">
      <c r="A1286" s="6" t="s">
        <v>6293</v>
      </c>
      <c r="B1286" s="6" t="s">
        <v>6294</v>
      </c>
      <c r="C1286" s="944">
        <v>1091</v>
      </c>
      <c r="D1286" s="944">
        <v>1022297.4778080001</v>
      </c>
      <c r="E1286" s="945">
        <v>57657.643416343803</v>
      </c>
      <c r="F1286" s="946">
        <v>14.971993936905999</v>
      </c>
      <c r="G1286" s="947">
        <v>0.84442141977769603</v>
      </c>
    </row>
    <row r="1287" spans="1:7" x14ac:dyDescent="0.25">
      <c r="A1287" s="11" t="s">
        <v>6293</v>
      </c>
      <c r="B1287" s="11" t="s">
        <v>6295</v>
      </c>
      <c r="C1287" s="948">
        <v>6081</v>
      </c>
      <c r="D1287" s="948">
        <v>6828065</v>
      </c>
      <c r="E1287" s="949">
        <v>0</v>
      </c>
      <c r="F1287" s="950">
        <v>100</v>
      </c>
      <c r="G1287" s="951">
        <v>0</v>
      </c>
    </row>
    <row r="1288" spans="1:7" x14ac:dyDescent="0.25">
      <c r="A1288" s="3353" t="s">
        <v>429</v>
      </c>
      <c r="B1288" s="3354"/>
      <c r="C1288" s="3354"/>
      <c r="D1288" s="3354"/>
      <c r="E1288" s="3354"/>
      <c r="F1288" s="3354"/>
      <c r="G1288" s="3354"/>
    </row>
    <row r="1289" spans="1:7" x14ac:dyDescent="0.25">
      <c r="A1289" s="11" t="s">
        <v>990</v>
      </c>
      <c r="B1289" s="11" t="s">
        <v>5997</v>
      </c>
      <c r="C1289" s="956">
        <v>1004</v>
      </c>
      <c r="D1289" s="956">
        <v>1260960.6516347399</v>
      </c>
      <c r="E1289" s="957">
        <v>73815.786183096396</v>
      </c>
      <c r="F1289" s="958">
        <v>43.526835375870498</v>
      </c>
      <c r="G1289" s="959">
        <v>2.6075098531048502</v>
      </c>
    </row>
    <row r="1290" spans="1:7" x14ac:dyDescent="0.25">
      <c r="A1290" s="6" t="s">
        <v>984</v>
      </c>
      <c r="B1290" s="6" t="s">
        <v>5994</v>
      </c>
      <c r="C1290" s="952">
        <v>617</v>
      </c>
      <c r="D1290" s="952">
        <v>964091.18387580896</v>
      </c>
      <c r="E1290" s="953">
        <v>88495.373053117204</v>
      </c>
      <c r="F1290" s="954">
        <v>33.279260691828398</v>
      </c>
      <c r="G1290" s="955">
        <v>2.9404666103808998</v>
      </c>
    </row>
    <row r="1291" spans="1:7" x14ac:dyDescent="0.25">
      <c r="A1291" s="11" t="s">
        <v>988</v>
      </c>
      <c r="B1291" s="11" t="s">
        <v>5996</v>
      </c>
      <c r="C1291" s="956">
        <v>270</v>
      </c>
      <c r="D1291" s="956">
        <v>392038.32147929497</v>
      </c>
      <c r="E1291" s="957">
        <v>45801.300113039601</v>
      </c>
      <c r="F1291" s="958">
        <v>13.532688318179799</v>
      </c>
      <c r="G1291" s="959">
        <v>1.5956869356655099</v>
      </c>
    </row>
    <row r="1292" spans="1:7" x14ac:dyDescent="0.25">
      <c r="A1292" s="6" t="s">
        <v>986</v>
      </c>
      <c r="B1292" s="6" t="s">
        <v>5995</v>
      </c>
      <c r="C1292" s="952">
        <v>243</v>
      </c>
      <c r="D1292" s="952">
        <v>269626.71551856998</v>
      </c>
      <c r="E1292" s="953">
        <v>54375.1151524132</v>
      </c>
      <c r="F1292" s="954">
        <v>9.3071878524509195</v>
      </c>
      <c r="G1292" s="955">
        <v>1.7734117566160099</v>
      </c>
    </row>
    <row r="1293" spans="1:7" x14ac:dyDescent="0.25">
      <c r="A1293" s="11" t="s">
        <v>1005</v>
      </c>
      <c r="B1293" s="11" t="s">
        <v>1037</v>
      </c>
      <c r="C1293" s="956">
        <v>3</v>
      </c>
      <c r="D1293" s="956">
        <v>10256.088530159701</v>
      </c>
      <c r="E1293" s="957">
        <v>9522.5310943807908</v>
      </c>
      <c r="F1293" s="958">
        <v>0.35402776167033501</v>
      </c>
      <c r="G1293" s="959">
        <v>0.32853113183402899</v>
      </c>
    </row>
    <row r="1294" spans="1:7" x14ac:dyDescent="0.25">
      <c r="A1294" s="6" t="s">
        <v>982</v>
      </c>
      <c r="B1294" s="6" t="s">
        <v>983</v>
      </c>
      <c r="C1294" s="952">
        <v>3941</v>
      </c>
      <c r="D1294" s="952">
        <v>3921370.4157522102</v>
      </c>
      <c r="E1294" s="953">
        <v>66252.325852430906</v>
      </c>
      <c r="F1294" s="954">
        <v>99.752699170793605</v>
      </c>
      <c r="G1294" s="955">
        <v>0.19422546111981501</v>
      </c>
    </row>
    <row r="1295" spans="1:7" x14ac:dyDescent="0.25">
      <c r="A1295" s="11" t="s">
        <v>978</v>
      </c>
      <c r="B1295" s="11" t="s">
        <v>979</v>
      </c>
      <c r="C1295" s="956">
        <v>3</v>
      </c>
      <c r="D1295" s="956">
        <v>9721.6232092185692</v>
      </c>
      <c r="E1295" s="957">
        <v>7656.0673497733796</v>
      </c>
      <c r="F1295" s="958">
        <v>0.247300829206405</v>
      </c>
      <c r="G1295" s="959">
        <v>0.19422546111981301</v>
      </c>
    </row>
    <row r="1296" spans="1:7" x14ac:dyDescent="0.25">
      <c r="A1296" s="6" t="s">
        <v>6293</v>
      </c>
      <c r="B1296" s="6" t="s">
        <v>6294</v>
      </c>
      <c r="C1296" s="952">
        <v>2137</v>
      </c>
      <c r="D1296" s="952">
        <v>2896972.9610385802</v>
      </c>
      <c r="E1296" s="953">
        <v>67121.434066537797</v>
      </c>
      <c r="F1296" s="954">
        <v>42.427436778041397</v>
      </c>
      <c r="G1296" s="955">
        <v>0.98302277536224203</v>
      </c>
    </row>
    <row r="1297" spans="1:7" x14ac:dyDescent="0.25">
      <c r="A1297" s="11" t="s">
        <v>6293</v>
      </c>
      <c r="B1297" s="11" t="s">
        <v>6295</v>
      </c>
      <c r="C1297" s="956">
        <v>6081</v>
      </c>
      <c r="D1297" s="956">
        <v>6828065</v>
      </c>
      <c r="E1297" s="957">
        <v>0</v>
      </c>
      <c r="F1297" s="958">
        <v>100</v>
      </c>
      <c r="G1297" s="959">
        <v>0</v>
      </c>
    </row>
    <row r="1298" spans="1:7" x14ac:dyDescent="0.25">
      <c r="A1298" s="3353" t="s">
        <v>331</v>
      </c>
      <c r="B1298" s="3354"/>
      <c r="C1298" s="3354"/>
      <c r="D1298" s="3354"/>
      <c r="E1298" s="3354"/>
      <c r="F1298" s="3354"/>
      <c r="G1298" s="3354"/>
    </row>
    <row r="1299" spans="1:7" x14ac:dyDescent="0.25">
      <c r="A1299" s="11" t="s">
        <v>982</v>
      </c>
      <c r="B1299" s="11" t="s">
        <v>983</v>
      </c>
      <c r="C1299" s="964">
        <v>6078</v>
      </c>
      <c r="D1299" s="964">
        <v>6817808.91146986</v>
      </c>
      <c r="E1299" s="965">
        <v>9522.5310943718596</v>
      </c>
      <c r="F1299" s="966">
        <v>99.849795095240594</v>
      </c>
      <c r="G1299" s="967">
        <v>0.139461635095462</v>
      </c>
    </row>
    <row r="1300" spans="1:7" x14ac:dyDescent="0.25">
      <c r="A1300" s="6" t="s">
        <v>996</v>
      </c>
      <c r="B1300" s="6"/>
      <c r="C1300" s="960">
        <v>3</v>
      </c>
      <c r="D1300" s="960">
        <v>10256.088530159701</v>
      </c>
      <c r="E1300" s="961">
        <v>9522.5310943807908</v>
      </c>
      <c r="F1300" s="962">
        <v>0.15020490475939599</v>
      </c>
      <c r="G1300" s="963">
        <v>0.139461635095459</v>
      </c>
    </row>
    <row r="1301" spans="1:7" x14ac:dyDescent="0.25">
      <c r="A1301" s="11" t="s">
        <v>6293</v>
      </c>
      <c r="B1301" s="11" t="s">
        <v>6294</v>
      </c>
      <c r="C1301" s="964">
        <v>0</v>
      </c>
      <c r="D1301" s="964">
        <v>0</v>
      </c>
      <c r="E1301" s="965">
        <v>0</v>
      </c>
      <c r="F1301" s="966">
        <v>0</v>
      </c>
      <c r="G1301" s="967">
        <v>0</v>
      </c>
    </row>
    <row r="1302" spans="1:7" x14ac:dyDescent="0.25">
      <c r="A1302" s="6" t="s">
        <v>6293</v>
      </c>
      <c r="B1302" s="6" t="s">
        <v>6295</v>
      </c>
      <c r="C1302" s="960">
        <v>6081</v>
      </c>
      <c r="D1302" s="960">
        <v>6828065.0000000196</v>
      </c>
      <c r="E1302" s="961">
        <v>0</v>
      </c>
      <c r="F1302" s="962">
        <v>100</v>
      </c>
      <c r="G1302" s="963">
        <v>0</v>
      </c>
    </row>
    <row r="1303" spans="1:7" x14ac:dyDescent="0.25">
      <c r="A1303" s="3353" t="s">
        <v>610</v>
      </c>
      <c r="B1303" s="3354"/>
      <c r="C1303" s="3354"/>
      <c r="D1303" s="3354"/>
      <c r="E1303" s="3354"/>
      <c r="F1303" s="3354"/>
      <c r="G1303" s="3354"/>
    </row>
    <row r="1304" spans="1:7" x14ac:dyDescent="0.25">
      <c r="A1304" s="11" t="s">
        <v>984</v>
      </c>
      <c r="B1304" s="11" t="s">
        <v>6072</v>
      </c>
      <c r="C1304" s="972">
        <v>528</v>
      </c>
      <c r="D1304" s="972">
        <v>1066456.1507685799</v>
      </c>
      <c r="E1304" s="973">
        <v>38712.238279258003</v>
      </c>
      <c r="F1304" s="974">
        <v>92.059679446504902</v>
      </c>
      <c r="G1304" s="975">
        <v>3.0103136002817701</v>
      </c>
    </row>
    <row r="1305" spans="1:7" x14ac:dyDescent="0.25">
      <c r="A1305" s="6" t="s">
        <v>986</v>
      </c>
      <c r="B1305" s="6" t="s">
        <v>6073</v>
      </c>
      <c r="C1305" s="968">
        <v>40</v>
      </c>
      <c r="D1305" s="968">
        <v>80259.254869752098</v>
      </c>
      <c r="E1305" s="969">
        <v>29797.1706453267</v>
      </c>
      <c r="F1305" s="970">
        <v>6.9282185400682801</v>
      </c>
      <c r="G1305" s="971">
        <v>2.5691020346846498</v>
      </c>
    </row>
    <row r="1306" spans="1:7" x14ac:dyDescent="0.25">
      <c r="A1306" s="11" t="s">
        <v>988</v>
      </c>
      <c r="B1306" s="11" t="s">
        <v>6074</v>
      </c>
      <c r="C1306" s="972">
        <v>7</v>
      </c>
      <c r="D1306" s="972">
        <v>11724.5945664142</v>
      </c>
      <c r="E1306" s="973">
        <v>6742.6709689965901</v>
      </c>
      <c r="F1306" s="974">
        <v>1.0121020134268499</v>
      </c>
      <c r="G1306" s="975">
        <v>0.58153801067889699</v>
      </c>
    </row>
    <row r="1307" spans="1:7" x14ac:dyDescent="0.25">
      <c r="A1307" s="6" t="s">
        <v>982</v>
      </c>
      <c r="B1307" s="6" t="s">
        <v>983</v>
      </c>
      <c r="C1307" s="968">
        <v>5505</v>
      </c>
      <c r="D1307" s="968">
        <v>5669624.9997952599</v>
      </c>
      <c r="E1307" s="969">
        <v>16764.0029134096</v>
      </c>
      <c r="F1307" s="970">
        <v>100</v>
      </c>
      <c r="G1307" s="971">
        <v>0</v>
      </c>
    </row>
    <row r="1308" spans="1:7" x14ac:dyDescent="0.25">
      <c r="A1308" s="11" t="s">
        <v>6293</v>
      </c>
      <c r="B1308" s="11" t="s">
        <v>6294</v>
      </c>
      <c r="C1308" s="972">
        <v>575</v>
      </c>
      <c r="D1308" s="972">
        <v>1158440.0002047401</v>
      </c>
      <c r="E1308" s="973">
        <v>16764.002913416902</v>
      </c>
      <c r="F1308" s="974">
        <v>16.965860755642201</v>
      </c>
      <c r="G1308" s="975">
        <v>0.24551615887393499</v>
      </c>
    </row>
    <row r="1309" spans="1:7" x14ac:dyDescent="0.25">
      <c r="A1309" s="6" t="s">
        <v>6293</v>
      </c>
      <c r="B1309" s="6" t="s">
        <v>6295</v>
      </c>
      <c r="C1309" s="968">
        <v>6080</v>
      </c>
      <c r="D1309" s="968">
        <v>6828065.0000000102</v>
      </c>
      <c r="E1309" s="969">
        <v>0</v>
      </c>
      <c r="F1309" s="970">
        <v>100</v>
      </c>
      <c r="G1309" s="971">
        <v>0</v>
      </c>
    </row>
    <row r="1310" spans="1:7" x14ac:dyDescent="0.25">
      <c r="A1310" s="3353" t="s">
        <v>426</v>
      </c>
      <c r="B1310" s="3354"/>
      <c r="C1310" s="3354"/>
      <c r="D1310" s="3354"/>
      <c r="E1310" s="3354"/>
      <c r="F1310" s="3354"/>
      <c r="G1310" s="3354"/>
    </row>
    <row r="1311" spans="1:7" x14ac:dyDescent="0.25">
      <c r="A1311" s="11" t="s">
        <v>1174</v>
      </c>
      <c r="B1311" s="11"/>
      <c r="C1311" s="980">
        <v>1606</v>
      </c>
      <c r="D1311" s="980">
        <v>1898116.2547959301</v>
      </c>
      <c r="E1311" s="981">
        <v>45415.955170571702</v>
      </c>
      <c r="F1311" s="982">
        <v>29.7435578904376</v>
      </c>
      <c r="G1311" s="983">
        <v>0.68402005087714002</v>
      </c>
    </row>
    <row r="1312" spans="1:7" x14ac:dyDescent="0.25">
      <c r="A1312" s="6" t="s">
        <v>6302</v>
      </c>
      <c r="B1312" s="6"/>
      <c r="C1312" s="976">
        <v>879</v>
      </c>
      <c r="D1312" s="976">
        <v>699288.26547149406</v>
      </c>
      <c r="E1312" s="977">
        <v>41071.491335393803</v>
      </c>
      <c r="F1312" s="978">
        <v>10.9578751847269</v>
      </c>
      <c r="G1312" s="979">
        <v>0.63884181267223406</v>
      </c>
    </row>
    <row r="1313" spans="1:7" x14ac:dyDescent="0.25">
      <c r="A1313" s="11" t="s">
        <v>6299</v>
      </c>
      <c r="B1313" s="11"/>
      <c r="C1313" s="980">
        <v>587</v>
      </c>
      <c r="D1313" s="980">
        <v>699264.30598432804</v>
      </c>
      <c r="E1313" s="981">
        <v>58249.552783520499</v>
      </c>
      <c r="F1313" s="982">
        <v>10.9574997386015</v>
      </c>
      <c r="G1313" s="983">
        <v>0.90404361143140899</v>
      </c>
    </row>
    <row r="1314" spans="1:7" x14ac:dyDescent="0.25">
      <c r="A1314" s="6" t="s">
        <v>6297</v>
      </c>
      <c r="B1314" s="6"/>
      <c r="C1314" s="976">
        <v>589</v>
      </c>
      <c r="D1314" s="976">
        <v>629011.27640586603</v>
      </c>
      <c r="E1314" s="977">
        <v>70212.764793807597</v>
      </c>
      <c r="F1314" s="978">
        <v>9.85663194561673</v>
      </c>
      <c r="G1314" s="979">
        <v>1.10738736256658</v>
      </c>
    </row>
    <row r="1315" spans="1:7" x14ac:dyDescent="0.25">
      <c r="A1315" s="11" t="s">
        <v>6298</v>
      </c>
      <c r="B1315" s="11"/>
      <c r="C1315" s="980">
        <v>481</v>
      </c>
      <c r="D1315" s="980">
        <v>609338.26504014304</v>
      </c>
      <c r="E1315" s="981">
        <v>66785.099657548897</v>
      </c>
      <c r="F1315" s="982">
        <v>9.5483550679717801</v>
      </c>
      <c r="G1315" s="983">
        <v>1.0505246642332999</v>
      </c>
    </row>
    <row r="1316" spans="1:7" x14ac:dyDescent="0.25">
      <c r="A1316" s="6" t="s">
        <v>6300</v>
      </c>
      <c r="B1316" s="6"/>
      <c r="C1316" s="976">
        <v>405</v>
      </c>
      <c r="D1316" s="976">
        <v>515788.67923430703</v>
      </c>
      <c r="E1316" s="977">
        <v>53217.476565040903</v>
      </c>
      <c r="F1316" s="978">
        <v>8.0824293039350206</v>
      </c>
      <c r="G1316" s="979">
        <v>0.82746678367813098</v>
      </c>
    </row>
    <row r="1317" spans="1:7" x14ac:dyDescent="0.25">
      <c r="A1317" s="11" t="s">
        <v>6296</v>
      </c>
      <c r="B1317" s="11"/>
      <c r="C1317" s="980">
        <v>347</v>
      </c>
      <c r="D1317" s="980">
        <v>409382.493397591</v>
      </c>
      <c r="E1317" s="981">
        <v>44414.997025937402</v>
      </c>
      <c r="F1317" s="982">
        <v>6.4150401014357596</v>
      </c>
      <c r="G1317" s="983">
        <v>0.69961803983184501</v>
      </c>
    </row>
    <row r="1318" spans="1:7" x14ac:dyDescent="0.25">
      <c r="A1318" s="6" t="s">
        <v>6301</v>
      </c>
      <c r="B1318" s="6"/>
      <c r="C1318" s="976">
        <v>204</v>
      </c>
      <c r="D1318" s="976">
        <v>198612.50342518001</v>
      </c>
      <c r="E1318" s="977">
        <v>32654.197466658501</v>
      </c>
      <c r="F1318" s="978">
        <v>3.1122658996599402</v>
      </c>
      <c r="G1318" s="979">
        <v>0.51126400311516196</v>
      </c>
    </row>
    <row r="1319" spans="1:7" x14ac:dyDescent="0.25">
      <c r="A1319" s="11" t="s">
        <v>1025</v>
      </c>
      <c r="B1319" s="11"/>
      <c r="C1319" s="980">
        <v>148</v>
      </c>
      <c r="D1319" s="980">
        <v>160929.46706538499</v>
      </c>
      <c r="E1319" s="981">
        <v>46447.890328850801</v>
      </c>
      <c r="F1319" s="982">
        <v>2.5217712075550298</v>
      </c>
      <c r="G1319" s="983">
        <v>0.72983977752131102</v>
      </c>
    </row>
    <row r="1320" spans="1:7" x14ac:dyDescent="0.25">
      <c r="A1320" s="6" t="s">
        <v>1017</v>
      </c>
      <c r="B1320" s="6"/>
      <c r="C1320" s="976">
        <v>131</v>
      </c>
      <c r="D1320" s="976">
        <v>157257.24182004601</v>
      </c>
      <c r="E1320" s="977">
        <v>31514.538064730601</v>
      </c>
      <c r="F1320" s="978">
        <v>2.4642272905818299</v>
      </c>
      <c r="G1320" s="979">
        <v>0.49429204944949301</v>
      </c>
    </row>
    <row r="1321" spans="1:7" x14ac:dyDescent="0.25">
      <c r="A1321" s="11" t="s">
        <v>1177</v>
      </c>
      <c r="B1321" s="11"/>
      <c r="C1321" s="980">
        <v>64</v>
      </c>
      <c r="D1321" s="980">
        <v>57685.762277771697</v>
      </c>
      <c r="E1321" s="981">
        <v>20189.952888337601</v>
      </c>
      <c r="F1321" s="982">
        <v>0.90393821001622199</v>
      </c>
      <c r="G1321" s="983">
        <v>0.31653496504019302</v>
      </c>
    </row>
    <row r="1322" spans="1:7" x14ac:dyDescent="0.25">
      <c r="A1322" s="6" t="s">
        <v>6303</v>
      </c>
      <c r="B1322" s="6"/>
      <c r="C1322" s="976">
        <v>52</v>
      </c>
      <c r="D1322" s="976">
        <v>49824.846316215997</v>
      </c>
      <c r="E1322" s="977">
        <v>16287.554178140799</v>
      </c>
      <c r="F1322" s="978">
        <v>0.78075734141366304</v>
      </c>
      <c r="G1322" s="979">
        <v>0.255394685926012</v>
      </c>
    </row>
    <row r="1323" spans="1:7" x14ac:dyDescent="0.25">
      <c r="A1323" s="11" t="s">
        <v>1021</v>
      </c>
      <c r="B1323" s="11"/>
      <c r="C1323" s="980">
        <v>44</v>
      </c>
      <c r="D1323" s="980">
        <v>46272.702365871999</v>
      </c>
      <c r="E1323" s="981">
        <v>19614.479178078898</v>
      </c>
      <c r="F1323" s="982">
        <v>0.72509510315229597</v>
      </c>
      <c r="G1323" s="983">
        <v>0.30709020527258502</v>
      </c>
    </row>
    <row r="1324" spans="1:7" x14ac:dyDescent="0.25">
      <c r="A1324" s="6" t="s">
        <v>1069</v>
      </c>
      <c r="B1324" s="6"/>
      <c r="C1324" s="976">
        <v>58</v>
      </c>
      <c r="D1324" s="976">
        <v>44709.518652225503</v>
      </c>
      <c r="E1324" s="977">
        <v>13663.044248816601</v>
      </c>
      <c r="F1324" s="978">
        <v>0.70059995162363997</v>
      </c>
      <c r="G1324" s="979">
        <v>0.21433933066556601</v>
      </c>
    </row>
    <row r="1325" spans="1:7" x14ac:dyDescent="0.25">
      <c r="A1325" s="11" t="s">
        <v>1027</v>
      </c>
      <c r="B1325" s="11"/>
      <c r="C1325" s="980">
        <v>52</v>
      </c>
      <c r="D1325" s="980">
        <v>32924.554850525703</v>
      </c>
      <c r="E1325" s="981">
        <v>15437.6184150888</v>
      </c>
      <c r="F1325" s="982">
        <v>0.51592909588079305</v>
      </c>
      <c r="G1325" s="983">
        <v>0.24170419413553701</v>
      </c>
    </row>
    <row r="1326" spans="1:7" x14ac:dyDescent="0.25">
      <c r="A1326" s="6" t="s">
        <v>3054</v>
      </c>
      <c r="B1326" s="6"/>
      <c r="C1326" s="976">
        <v>13</v>
      </c>
      <c r="D1326" s="976">
        <v>24714.136321820901</v>
      </c>
      <c r="E1326" s="977">
        <v>15449.9054076513</v>
      </c>
      <c r="F1326" s="978">
        <v>0.387271508024296</v>
      </c>
      <c r="G1326" s="979">
        <v>0.24222783285694699</v>
      </c>
    </row>
    <row r="1327" spans="1:7" x14ac:dyDescent="0.25">
      <c r="A1327" s="11" t="s">
        <v>1023</v>
      </c>
      <c r="B1327" s="11"/>
      <c r="C1327" s="980">
        <v>4</v>
      </c>
      <c r="D1327" s="980">
        <v>19128.834781436901</v>
      </c>
      <c r="E1327" s="981">
        <v>13239.624350596099</v>
      </c>
      <c r="F1327" s="982">
        <v>0.29974960872955497</v>
      </c>
      <c r="G1327" s="983">
        <v>0.20747965342466901</v>
      </c>
    </row>
    <row r="1328" spans="1:7" x14ac:dyDescent="0.25">
      <c r="A1328" s="6" t="s">
        <v>1181</v>
      </c>
      <c r="B1328" s="6"/>
      <c r="C1328" s="976">
        <v>7</v>
      </c>
      <c r="D1328" s="976">
        <v>18589.5173552206</v>
      </c>
      <c r="E1328" s="977">
        <v>13990.179943883901</v>
      </c>
      <c r="F1328" s="978">
        <v>0.29129848301612399</v>
      </c>
      <c r="G1328" s="979">
        <v>0.21938102886323599</v>
      </c>
    </row>
    <row r="1329" spans="1:7" x14ac:dyDescent="0.25">
      <c r="A1329" s="11" t="s">
        <v>1179</v>
      </c>
      <c r="B1329" s="11"/>
      <c r="C1329" s="980">
        <v>28</v>
      </c>
      <c r="D1329" s="980">
        <v>18415.823598871</v>
      </c>
      <c r="E1329" s="981">
        <v>12581.457952454901</v>
      </c>
      <c r="F1329" s="982">
        <v>0.28857669488321003</v>
      </c>
      <c r="G1329" s="983">
        <v>0.19711531344719699</v>
      </c>
    </row>
    <row r="1330" spans="1:7" x14ac:dyDescent="0.25">
      <c r="A1330" s="6" t="s">
        <v>6304</v>
      </c>
      <c r="B1330" s="6"/>
      <c r="C1330" s="976">
        <v>29</v>
      </c>
      <c r="D1330" s="976">
        <v>15623.6068277167</v>
      </c>
      <c r="E1330" s="977">
        <v>8427.2769811860398</v>
      </c>
      <c r="F1330" s="978">
        <v>0.24482254601817799</v>
      </c>
      <c r="G1330" s="979">
        <v>0.13209235402042599</v>
      </c>
    </row>
    <row r="1331" spans="1:7" x14ac:dyDescent="0.25">
      <c r="A1331" s="11" t="s">
        <v>3069</v>
      </c>
      <c r="B1331" s="11"/>
      <c r="C1331" s="980">
        <v>16</v>
      </c>
      <c r="D1331" s="980">
        <v>12527.7290848542</v>
      </c>
      <c r="E1331" s="981">
        <v>6805.6669476110701</v>
      </c>
      <c r="F1331" s="982">
        <v>0.196310017539543</v>
      </c>
      <c r="G1331" s="983">
        <v>0.10658347479343</v>
      </c>
    </row>
    <row r="1332" spans="1:7" x14ac:dyDescent="0.25">
      <c r="A1332" s="6" t="s">
        <v>1033</v>
      </c>
      <c r="B1332" s="6"/>
      <c r="C1332" s="976">
        <v>14</v>
      </c>
      <c r="D1332" s="976">
        <v>9891.5050992752695</v>
      </c>
      <c r="E1332" s="977">
        <v>6739.9278084969501</v>
      </c>
      <c r="F1332" s="978">
        <v>0.15500028188499099</v>
      </c>
      <c r="G1332" s="979">
        <v>0.105554670584264</v>
      </c>
    </row>
    <row r="1333" spans="1:7" x14ac:dyDescent="0.25">
      <c r="A1333" s="11" t="s">
        <v>1187</v>
      </c>
      <c r="B1333" s="11"/>
      <c r="C1333" s="980">
        <v>6</v>
      </c>
      <c r="D1333" s="980">
        <v>9463.0996665808707</v>
      </c>
      <c r="E1333" s="981">
        <v>9363.0105151256503</v>
      </c>
      <c r="F1333" s="982">
        <v>0.14828715156132</v>
      </c>
      <c r="G1333" s="983">
        <v>0.14672629024488901</v>
      </c>
    </row>
    <row r="1334" spans="1:7" x14ac:dyDescent="0.25">
      <c r="A1334" s="6" t="s">
        <v>3060</v>
      </c>
      <c r="B1334" s="6"/>
      <c r="C1334" s="976">
        <v>21</v>
      </c>
      <c r="D1334" s="976">
        <v>8711.9231432432698</v>
      </c>
      <c r="E1334" s="977">
        <v>2773.8276968922401</v>
      </c>
      <c r="F1334" s="978">
        <v>0.136516185293381</v>
      </c>
      <c r="G1334" s="979">
        <v>4.3410891789014298E-2</v>
      </c>
    </row>
    <row r="1335" spans="1:7" x14ac:dyDescent="0.25">
      <c r="A1335" s="11" t="s">
        <v>1183</v>
      </c>
      <c r="B1335" s="11"/>
      <c r="C1335" s="980">
        <v>11</v>
      </c>
      <c r="D1335" s="980">
        <v>8398.8039344870595</v>
      </c>
      <c r="E1335" s="981">
        <v>4770.5289792679396</v>
      </c>
      <c r="F1335" s="982">
        <v>0.13160959472564501</v>
      </c>
      <c r="G1335" s="983">
        <v>7.4692086655060302E-2</v>
      </c>
    </row>
    <row r="1336" spans="1:7" x14ac:dyDescent="0.25">
      <c r="A1336" s="6" t="s">
        <v>1019</v>
      </c>
      <c r="B1336" s="6"/>
      <c r="C1336" s="976">
        <v>11</v>
      </c>
      <c r="D1336" s="976">
        <v>5369.6780549245796</v>
      </c>
      <c r="E1336" s="977">
        <v>3470.06526793696</v>
      </c>
      <c r="F1336" s="978">
        <v>8.4143070623897601E-2</v>
      </c>
      <c r="G1336" s="979">
        <v>5.43561488244843E-2</v>
      </c>
    </row>
    <row r="1337" spans="1:7" x14ac:dyDescent="0.25">
      <c r="A1337" s="11" t="s">
        <v>3201</v>
      </c>
      <c r="B1337" s="11"/>
      <c r="C1337" s="980">
        <v>1</v>
      </c>
      <c r="D1337" s="980">
        <v>4208.5125444312798</v>
      </c>
      <c r="E1337" s="981">
        <v>4420.8671330591596</v>
      </c>
      <c r="F1337" s="982">
        <v>6.5947560472992606E-2</v>
      </c>
      <c r="G1337" s="983">
        <v>6.9290399999306806E-2</v>
      </c>
    </row>
    <row r="1338" spans="1:7" x14ac:dyDescent="0.25">
      <c r="A1338" s="6" t="s">
        <v>3083</v>
      </c>
      <c r="B1338" s="6"/>
      <c r="C1338" s="976">
        <v>1</v>
      </c>
      <c r="D1338" s="976">
        <v>3575.49520700732</v>
      </c>
      <c r="E1338" s="977">
        <v>3697.8204428928998</v>
      </c>
      <c r="F1338" s="978">
        <v>5.6028153390445701E-2</v>
      </c>
      <c r="G1338" s="979">
        <v>5.7950914005157603E-2</v>
      </c>
    </row>
    <row r="1339" spans="1:7" x14ac:dyDescent="0.25">
      <c r="A1339" s="11" t="s">
        <v>3246</v>
      </c>
      <c r="B1339" s="11"/>
      <c r="C1339" s="980">
        <v>5</v>
      </c>
      <c r="D1339" s="980">
        <v>3159.4762115492099</v>
      </c>
      <c r="E1339" s="981">
        <v>2546.9765406731299</v>
      </c>
      <c r="F1339" s="982">
        <v>4.95091190353764E-2</v>
      </c>
      <c r="G1339" s="983">
        <v>3.9902805822928003E-2</v>
      </c>
    </row>
    <row r="1340" spans="1:7" x14ac:dyDescent="0.25">
      <c r="A1340" s="6" t="s">
        <v>1083</v>
      </c>
      <c r="B1340" s="6"/>
      <c r="C1340" s="976">
        <v>2</v>
      </c>
      <c r="D1340" s="976">
        <v>2655.9791304627502</v>
      </c>
      <c r="E1340" s="977">
        <v>1957.5998021222699</v>
      </c>
      <c r="F1340" s="978">
        <v>4.1619299567721299E-2</v>
      </c>
      <c r="G1340" s="979">
        <v>3.06416842294269E-2</v>
      </c>
    </row>
    <row r="1341" spans="1:7" x14ac:dyDescent="0.25">
      <c r="A1341" s="11" t="s">
        <v>1073</v>
      </c>
      <c r="B1341" s="11"/>
      <c r="C1341" s="980">
        <v>2</v>
      </c>
      <c r="D1341" s="980">
        <v>1827.2634819392999</v>
      </c>
      <c r="E1341" s="981">
        <v>1504.7226524370501</v>
      </c>
      <c r="F1341" s="982">
        <v>2.8633292096214399E-2</v>
      </c>
      <c r="G1341" s="983">
        <v>2.3571349870196899E-2</v>
      </c>
    </row>
    <row r="1342" spans="1:7" x14ac:dyDescent="0.25">
      <c r="A1342" s="6" t="s">
        <v>1185</v>
      </c>
      <c r="B1342" s="6"/>
      <c r="C1342" s="976">
        <v>3</v>
      </c>
      <c r="D1342" s="976">
        <v>1771.4163345320301</v>
      </c>
      <c r="E1342" s="977">
        <v>1799.1598317698099</v>
      </c>
      <c r="F1342" s="978">
        <v>2.77581650550087E-2</v>
      </c>
      <c r="G1342" s="979">
        <v>2.8196132614712901E-2</v>
      </c>
    </row>
    <row r="1343" spans="1:7" x14ac:dyDescent="0.25">
      <c r="A1343" s="11" t="s">
        <v>1105</v>
      </c>
      <c r="B1343" s="11"/>
      <c r="C1343" s="980">
        <v>1</v>
      </c>
      <c r="D1343" s="980">
        <v>1454.94967837695</v>
      </c>
      <c r="E1343" s="981">
        <v>1533.37791754554</v>
      </c>
      <c r="F1343" s="982">
        <v>2.27991198521879E-2</v>
      </c>
      <c r="G1343" s="983">
        <v>2.4028770760151402E-2</v>
      </c>
    </row>
    <row r="1344" spans="1:7" x14ac:dyDescent="0.25">
      <c r="A1344" s="6" t="s">
        <v>1029</v>
      </c>
      <c r="B1344" s="6"/>
      <c r="C1344" s="976">
        <v>12</v>
      </c>
      <c r="D1344" s="976">
        <v>1412.7343318206199</v>
      </c>
      <c r="E1344" s="977">
        <v>994.40936045310502</v>
      </c>
      <c r="F1344" s="978">
        <v>2.2137603677406501E-2</v>
      </c>
      <c r="G1344" s="979">
        <v>1.55826548613582E-2</v>
      </c>
    </row>
    <row r="1345" spans="1:7" x14ac:dyDescent="0.25">
      <c r="A1345" s="11" t="s">
        <v>1035</v>
      </c>
      <c r="B1345" s="11"/>
      <c r="C1345" s="980">
        <v>8</v>
      </c>
      <c r="D1345" s="980">
        <v>660.67508899820496</v>
      </c>
      <c r="E1345" s="981">
        <v>290.54354441589101</v>
      </c>
      <c r="F1345" s="982">
        <v>1.03528051597139E-2</v>
      </c>
      <c r="G1345" s="983">
        <v>4.5508592457559303E-3</v>
      </c>
    </row>
    <row r="1346" spans="1:7" x14ac:dyDescent="0.25">
      <c r="A1346" s="6" t="s">
        <v>1189</v>
      </c>
      <c r="B1346" s="6"/>
      <c r="C1346" s="976">
        <v>1</v>
      </c>
      <c r="D1346" s="976">
        <v>296.44300968283</v>
      </c>
      <c r="E1346" s="977">
        <v>316.76472633157601</v>
      </c>
      <c r="F1346" s="978">
        <v>4.6452738589843603E-3</v>
      </c>
      <c r="G1346" s="979">
        <v>4.9642974805833096E-3</v>
      </c>
    </row>
    <row r="1347" spans="1:7" x14ac:dyDescent="0.25">
      <c r="A1347" s="11" t="s">
        <v>1031</v>
      </c>
      <c r="B1347" s="11"/>
      <c r="C1347" s="980">
        <v>5</v>
      </c>
      <c r="D1347" s="980">
        <v>235.263853355626</v>
      </c>
      <c r="E1347" s="981">
        <v>192.170952801998</v>
      </c>
      <c r="F1347" s="982">
        <v>3.6865940240118798E-3</v>
      </c>
      <c r="G1347" s="983">
        <v>3.0119916940272301E-3</v>
      </c>
    </row>
    <row r="1348" spans="1:7" x14ac:dyDescent="0.25">
      <c r="A1348" s="6" t="s">
        <v>1075</v>
      </c>
      <c r="B1348" s="6"/>
      <c r="C1348" s="976">
        <v>3</v>
      </c>
      <c r="D1348" s="976">
        <v>216.98061507083099</v>
      </c>
      <c r="E1348" s="977">
        <v>138.11803180708901</v>
      </c>
      <c r="F1348" s="978">
        <v>3.4000949463213401E-3</v>
      </c>
      <c r="G1348" s="979">
        <v>2.1634278338571599E-3</v>
      </c>
    </row>
    <row r="1349" spans="1:7" x14ac:dyDescent="0.25">
      <c r="A1349" s="11" t="s">
        <v>3071</v>
      </c>
      <c r="B1349" s="11"/>
      <c r="C1349" s="980">
        <v>2</v>
      </c>
      <c r="D1349" s="980">
        <v>190.26855897100401</v>
      </c>
      <c r="E1349" s="981">
        <v>171.87244504416699</v>
      </c>
      <c r="F1349" s="982">
        <v>2.98151595519246E-3</v>
      </c>
      <c r="G1349" s="983">
        <v>2.69325123939063E-3</v>
      </c>
    </row>
    <row r="1350" spans="1:7" x14ac:dyDescent="0.25">
      <c r="A1350" s="6" t="s">
        <v>3087</v>
      </c>
      <c r="B1350" s="6"/>
      <c r="C1350" s="976">
        <v>1</v>
      </c>
      <c r="D1350" s="976">
        <v>172.18592574551701</v>
      </c>
      <c r="E1350" s="977">
        <v>186.88553856575001</v>
      </c>
      <c r="F1350" s="978">
        <v>2.6981603668322202E-3</v>
      </c>
      <c r="G1350" s="979">
        <v>2.92909992490567E-3</v>
      </c>
    </row>
    <row r="1351" spans="1:7" x14ac:dyDescent="0.25">
      <c r="A1351" s="11" t="s">
        <v>1087</v>
      </c>
      <c r="B1351" s="11"/>
      <c r="C1351" s="980">
        <v>1</v>
      </c>
      <c r="D1351" s="980">
        <v>104.961540030628</v>
      </c>
      <c r="E1351" s="981">
        <v>116.866442845752</v>
      </c>
      <c r="F1351" s="982">
        <v>1.6447515447393501E-3</v>
      </c>
      <c r="G1351" s="983">
        <v>1.8314294662348999E-3</v>
      </c>
    </row>
    <row r="1352" spans="1:7" x14ac:dyDescent="0.25">
      <c r="A1352" s="6" t="s">
        <v>6458</v>
      </c>
      <c r="B1352" s="6"/>
      <c r="C1352" s="976">
        <v>1</v>
      </c>
      <c r="D1352" s="976">
        <v>97.466704813287905</v>
      </c>
      <c r="E1352" s="977">
        <v>100.406109909018</v>
      </c>
      <c r="F1352" s="978">
        <v>1.5273071760907001E-3</v>
      </c>
      <c r="G1352" s="979">
        <v>1.57355984141291E-3</v>
      </c>
    </row>
    <row r="1353" spans="1:7" x14ac:dyDescent="0.25">
      <c r="A1353" s="11" t="s">
        <v>1079</v>
      </c>
      <c r="B1353" s="11"/>
      <c r="C1353" s="980">
        <v>1</v>
      </c>
      <c r="D1353" s="980">
        <v>84.989112175721203</v>
      </c>
      <c r="E1353" s="981">
        <v>89.623061882872705</v>
      </c>
      <c r="F1353" s="982">
        <v>1.3317827986922999E-3</v>
      </c>
      <c r="G1353" s="983">
        <v>1.4046950325805601E-3</v>
      </c>
    </row>
    <row r="1354" spans="1:7" x14ac:dyDescent="0.25">
      <c r="A1354" s="6" t="s">
        <v>3208</v>
      </c>
      <c r="B1354" s="6"/>
      <c r="C1354" s="976">
        <v>1</v>
      </c>
      <c r="D1354" s="976">
        <v>72.209836993002497</v>
      </c>
      <c r="E1354" s="977">
        <v>74.283839481814596</v>
      </c>
      <c r="F1354" s="978">
        <v>1.1315310437038299E-3</v>
      </c>
      <c r="G1354" s="979">
        <v>1.1642895800201699E-3</v>
      </c>
    </row>
    <row r="1355" spans="1:7" x14ac:dyDescent="0.25">
      <c r="A1355" s="11" t="s">
        <v>3091</v>
      </c>
      <c r="B1355" s="11"/>
      <c r="C1355" s="980">
        <v>1</v>
      </c>
      <c r="D1355" s="980">
        <v>69.889542255735904</v>
      </c>
      <c r="E1355" s="981">
        <v>72.176786731303096</v>
      </c>
      <c r="F1355" s="982">
        <v>1.09517193204963E-3</v>
      </c>
      <c r="G1355" s="983">
        <v>1.1310185742453599E-3</v>
      </c>
    </row>
    <row r="1356" spans="1:7" x14ac:dyDescent="0.25">
      <c r="A1356" s="6" t="s">
        <v>3056</v>
      </c>
      <c r="B1356" s="6"/>
      <c r="C1356" s="976">
        <v>1</v>
      </c>
      <c r="D1356" s="976">
        <v>37.123496275727902</v>
      </c>
      <c r="E1356" s="977">
        <v>37.9355841803186</v>
      </c>
      <c r="F1356" s="978">
        <v>5.8172667653134502E-4</v>
      </c>
      <c r="G1356" s="979">
        <v>5.9462625449681404E-4</v>
      </c>
    </row>
    <row r="1357" spans="1:7" x14ac:dyDescent="0.25">
      <c r="A1357" s="11" t="s">
        <v>3097</v>
      </c>
      <c r="B1357" s="11"/>
      <c r="C1357" s="980">
        <v>1</v>
      </c>
      <c r="D1357" s="980">
        <v>35.0922304619667</v>
      </c>
      <c r="E1357" s="981">
        <v>37.6314084650243</v>
      </c>
      <c r="F1357" s="982">
        <v>5.4989665970818198E-4</v>
      </c>
      <c r="G1357" s="983">
        <v>5.8977417694416195E-4</v>
      </c>
    </row>
    <row r="1358" spans="1:7" x14ac:dyDescent="0.25">
      <c r="A1358" s="6" t="s">
        <v>1077</v>
      </c>
      <c r="B1358" s="6"/>
      <c r="C1358" s="976">
        <v>1</v>
      </c>
      <c r="D1358" s="976">
        <v>24.4160064652987</v>
      </c>
      <c r="E1358" s="977">
        <v>25.905422386242499</v>
      </c>
      <c r="F1358" s="978">
        <v>3.8259980120764002E-4</v>
      </c>
      <c r="G1358" s="979">
        <v>4.0600632073710201E-4</v>
      </c>
    </row>
    <row r="1359" spans="1:7" x14ac:dyDescent="0.25">
      <c r="A1359" s="11" t="s">
        <v>982</v>
      </c>
      <c r="B1359" s="11"/>
      <c r="C1359" s="980">
        <v>204</v>
      </c>
      <c r="D1359" s="980">
        <v>429859.990420477</v>
      </c>
      <c r="E1359" s="981">
        <v>8.2760638930812896E-2</v>
      </c>
      <c r="F1359" s="982">
        <v>96.281770634355595</v>
      </c>
      <c r="G1359" s="983">
        <v>2.3119323818383899</v>
      </c>
    </row>
    <row r="1360" spans="1:7" x14ac:dyDescent="0.25">
      <c r="A1360" s="6" t="s">
        <v>978</v>
      </c>
      <c r="B1360" s="6" t="s">
        <v>979</v>
      </c>
      <c r="C1360" s="976">
        <v>14</v>
      </c>
      <c r="D1360" s="976">
        <v>16600.422166797001</v>
      </c>
      <c r="E1360" s="977">
        <v>10589.2797482679</v>
      </c>
      <c r="F1360" s="978">
        <v>3.7182293656443601</v>
      </c>
      <c r="G1360" s="979">
        <v>2.3119323818383899</v>
      </c>
    </row>
    <row r="1361" spans="1:7" x14ac:dyDescent="0.25">
      <c r="A1361" s="11" t="s">
        <v>6293</v>
      </c>
      <c r="B1361" s="11" t="s">
        <v>6294</v>
      </c>
      <c r="C1361" s="980">
        <v>5862</v>
      </c>
      <c r="D1361" s="980">
        <v>6381604.5874127299</v>
      </c>
      <c r="E1361" s="981">
        <v>10589.2801348025</v>
      </c>
      <c r="F1361" s="982">
        <v>93.461391879144799</v>
      </c>
      <c r="G1361" s="983">
        <v>0.155084641619643</v>
      </c>
    </row>
    <row r="1362" spans="1:7" x14ac:dyDescent="0.25">
      <c r="A1362" s="6" t="s">
        <v>6293</v>
      </c>
      <c r="B1362" s="6" t="s">
        <v>6295</v>
      </c>
      <c r="C1362" s="976">
        <v>6080</v>
      </c>
      <c r="D1362" s="976">
        <v>6828065</v>
      </c>
      <c r="E1362" s="977">
        <v>0</v>
      </c>
      <c r="F1362" s="978">
        <v>100</v>
      </c>
      <c r="G1362" s="979">
        <v>0</v>
      </c>
    </row>
    <row r="1363" spans="1:7" x14ac:dyDescent="0.25">
      <c r="A1363" s="3353" t="s">
        <v>857</v>
      </c>
      <c r="B1363" s="3354"/>
      <c r="C1363" s="3354"/>
      <c r="D1363" s="3354"/>
      <c r="E1363" s="3354"/>
      <c r="F1363" s="3354"/>
      <c r="G1363" s="3354"/>
    </row>
    <row r="1364" spans="1:7" x14ac:dyDescent="0.25">
      <c r="A1364" s="11" t="s">
        <v>1174</v>
      </c>
      <c r="B1364" s="11"/>
      <c r="C1364" s="988">
        <v>1361</v>
      </c>
      <c r="D1364" s="988">
        <v>1472626.12436894</v>
      </c>
      <c r="E1364" s="989">
        <v>116045.888821498</v>
      </c>
      <c r="F1364" s="990">
        <v>32.918399972301202</v>
      </c>
      <c r="G1364" s="991">
        <v>2.6431600526944599</v>
      </c>
    </row>
    <row r="1365" spans="1:7" x14ac:dyDescent="0.25">
      <c r="A1365" s="6" t="s">
        <v>6297</v>
      </c>
      <c r="B1365" s="6"/>
      <c r="C1365" s="984">
        <v>483</v>
      </c>
      <c r="D1365" s="984">
        <v>655041.12083286897</v>
      </c>
      <c r="E1365" s="985">
        <v>90358.264076445994</v>
      </c>
      <c r="F1365" s="986">
        <v>14.6424847808001</v>
      </c>
      <c r="G1365" s="987">
        <v>1.9910989175232701</v>
      </c>
    </row>
    <row r="1366" spans="1:7" x14ac:dyDescent="0.25">
      <c r="A1366" s="11" t="s">
        <v>6298</v>
      </c>
      <c r="B1366" s="11"/>
      <c r="C1366" s="988">
        <v>440</v>
      </c>
      <c r="D1366" s="988">
        <v>499873.03084274498</v>
      </c>
      <c r="E1366" s="989">
        <v>69082.0379775232</v>
      </c>
      <c r="F1366" s="990">
        <v>11.1739294124633</v>
      </c>
      <c r="G1366" s="991">
        <v>1.5602829525480399</v>
      </c>
    </row>
    <row r="1367" spans="1:7" x14ac:dyDescent="0.25">
      <c r="A1367" s="6" t="s">
        <v>6296</v>
      </c>
      <c r="B1367" s="6"/>
      <c r="C1367" s="984">
        <v>334</v>
      </c>
      <c r="D1367" s="984">
        <v>419831.57476290502</v>
      </c>
      <c r="E1367" s="985">
        <v>53107.237133474497</v>
      </c>
      <c r="F1367" s="986">
        <v>9.3847199030023205</v>
      </c>
      <c r="G1367" s="987">
        <v>1.20647546323015</v>
      </c>
    </row>
    <row r="1368" spans="1:7" x14ac:dyDescent="0.25">
      <c r="A1368" s="11" t="s">
        <v>6299</v>
      </c>
      <c r="B1368" s="11"/>
      <c r="C1368" s="988">
        <v>381</v>
      </c>
      <c r="D1368" s="988">
        <v>399299.96657309902</v>
      </c>
      <c r="E1368" s="989">
        <v>38491.036681926002</v>
      </c>
      <c r="F1368" s="990">
        <v>8.9257658757157206</v>
      </c>
      <c r="G1368" s="991">
        <v>0.85161284647406599</v>
      </c>
    </row>
    <row r="1369" spans="1:7" x14ac:dyDescent="0.25">
      <c r="A1369" s="6" t="s">
        <v>6300</v>
      </c>
      <c r="B1369" s="6"/>
      <c r="C1369" s="984">
        <v>337</v>
      </c>
      <c r="D1369" s="984">
        <v>381389.66312511201</v>
      </c>
      <c r="E1369" s="985">
        <v>34370.029945570801</v>
      </c>
      <c r="F1369" s="986">
        <v>8.5254072763605695</v>
      </c>
      <c r="G1369" s="987">
        <v>0.74008262816221904</v>
      </c>
    </row>
    <row r="1370" spans="1:7" x14ac:dyDescent="0.25">
      <c r="A1370" s="11" t="s">
        <v>6302</v>
      </c>
      <c r="B1370" s="11"/>
      <c r="C1370" s="988">
        <v>514</v>
      </c>
      <c r="D1370" s="988">
        <v>346908.99001949403</v>
      </c>
      <c r="E1370" s="989">
        <v>35542.033549432897</v>
      </c>
      <c r="F1370" s="990">
        <v>7.7546423348576496</v>
      </c>
      <c r="G1370" s="991">
        <v>0.78856921453786499</v>
      </c>
    </row>
    <row r="1371" spans="1:7" x14ac:dyDescent="0.25">
      <c r="A1371" s="6" t="s">
        <v>6301</v>
      </c>
      <c r="B1371" s="6"/>
      <c r="C1371" s="984">
        <v>133</v>
      </c>
      <c r="D1371" s="984">
        <v>93659.632742058195</v>
      </c>
      <c r="E1371" s="985">
        <v>24018.0726549631</v>
      </c>
      <c r="F1371" s="986">
        <v>2.0936239014387401</v>
      </c>
      <c r="G1371" s="987">
        <v>0.53037033383130205</v>
      </c>
    </row>
    <row r="1372" spans="1:7" x14ac:dyDescent="0.25">
      <c r="A1372" s="11" t="s">
        <v>1025</v>
      </c>
      <c r="B1372" s="11"/>
      <c r="C1372" s="988">
        <v>62</v>
      </c>
      <c r="D1372" s="988">
        <v>52581.367312075097</v>
      </c>
      <c r="E1372" s="989">
        <v>18759.087095790099</v>
      </c>
      <c r="F1372" s="990">
        <v>1.17537944738764</v>
      </c>
      <c r="G1372" s="991">
        <v>0.418909863403986</v>
      </c>
    </row>
    <row r="1373" spans="1:7" x14ac:dyDescent="0.25">
      <c r="A1373" s="6" t="s">
        <v>1017</v>
      </c>
      <c r="B1373" s="6"/>
      <c r="C1373" s="984">
        <v>49</v>
      </c>
      <c r="D1373" s="984">
        <v>40215.624592829903</v>
      </c>
      <c r="E1373" s="985">
        <v>16577.225413091699</v>
      </c>
      <c r="F1373" s="986">
        <v>0.89896138169488504</v>
      </c>
      <c r="G1373" s="987">
        <v>0.36779302278859299</v>
      </c>
    </row>
    <row r="1374" spans="1:7" x14ac:dyDescent="0.25">
      <c r="A1374" s="11" t="s">
        <v>1177</v>
      </c>
      <c r="B1374" s="11"/>
      <c r="C1374" s="988">
        <v>18</v>
      </c>
      <c r="D1374" s="988">
        <v>24728.4534144891</v>
      </c>
      <c r="E1374" s="989">
        <v>14445.1384369321</v>
      </c>
      <c r="F1374" s="990">
        <v>0.55276835493014098</v>
      </c>
      <c r="G1374" s="991">
        <v>0.32348042871608901</v>
      </c>
    </row>
    <row r="1375" spans="1:7" x14ac:dyDescent="0.25">
      <c r="A1375" s="6" t="s">
        <v>1069</v>
      </c>
      <c r="B1375" s="6"/>
      <c r="C1375" s="984">
        <v>20</v>
      </c>
      <c r="D1375" s="984">
        <v>19329.1550274646</v>
      </c>
      <c r="E1375" s="985">
        <v>7015.2439615084704</v>
      </c>
      <c r="F1375" s="986">
        <v>0.43207494814297098</v>
      </c>
      <c r="G1375" s="987">
        <v>0.155168702619327</v>
      </c>
    </row>
    <row r="1376" spans="1:7" x14ac:dyDescent="0.25">
      <c r="A1376" s="11" t="s">
        <v>6303</v>
      </c>
      <c r="B1376" s="11"/>
      <c r="C1376" s="988">
        <v>18</v>
      </c>
      <c r="D1376" s="988">
        <v>14896.0650109711</v>
      </c>
      <c r="E1376" s="989">
        <v>8008.23094212262</v>
      </c>
      <c r="F1376" s="990">
        <v>0.33297971421950601</v>
      </c>
      <c r="G1376" s="991">
        <v>0.17962381601431901</v>
      </c>
    </row>
    <row r="1377" spans="1:7" x14ac:dyDescent="0.25">
      <c r="A1377" s="6" t="s">
        <v>1021</v>
      </c>
      <c r="B1377" s="6"/>
      <c r="C1377" s="984">
        <v>17</v>
      </c>
      <c r="D1377" s="984">
        <v>10202.5515908451</v>
      </c>
      <c r="E1377" s="985">
        <v>5528.8532801646097</v>
      </c>
      <c r="F1377" s="986">
        <v>0.22806309656457899</v>
      </c>
      <c r="G1377" s="987">
        <v>0.12304596537960601</v>
      </c>
    </row>
    <row r="1378" spans="1:7" x14ac:dyDescent="0.25">
      <c r="A1378" s="11" t="s">
        <v>3054</v>
      </c>
      <c r="B1378" s="11"/>
      <c r="C1378" s="988">
        <v>2</v>
      </c>
      <c r="D1378" s="988">
        <v>9957.4259574747502</v>
      </c>
      <c r="E1378" s="989">
        <v>9554.7245674800706</v>
      </c>
      <c r="F1378" s="990">
        <v>0.22258367207982999</v>
      </c>
      <c r="G1378" s="991">
        <v>0.213572834815486</v>
      </c>
    </row>
    <row r="1379" spans="1:7" x14ac:dyDescent="0.25">
      <c r="A1379" s="6" t="s">
        <v>1071</v>
      </c>
      <c r="B1379" s="6"/>
      <c r="C1379" s="984">
        <v>1</v>
      </c>
      <c r="D1379" s="984">
        <v>9046.1700312022604</v>
      </c>
      <c r="E1379" s="985">
        <v>9400.5303379293091</v>
      </c>
      <c r="F1379" s="986">
        <v>0.202213880615604</v>
      </c>
      <c r="G1379" s="987">
        <v>0.210307793126042</v>
      </c>
    </row>
    <row r="1380" spans="1:7" x14ac:dyDescent="0.25">
      <c r="A1380" s="11" t="s">
        <v>1027</v>
      </c>
      <c r="B1380" s="11"/>
      <c r="C1380" s="988">
        <v>17</v>
      </c>
      <c r="D1380" s="988">
        <v>8788.9791258308396</v>
      </c>
      <c r="E1380" s="989">
        <v>5302.0638027374298</v>
      </c>
      <c r="F1380" s="990">
        <v>0.19646475464794999</v>
      </c>
      <c r="G1380" s="991">
        <v>0.118389060676736</v>
      </c>
    </row>
    <row r="1381" spans="1:7" x14ac:dyDescent="0.25">
      <c r="A1381" s="6" t="s">
        <v>6304</v>
      </c>
      <c r="B1381" s="6"/>
      <c r="C1381" s="984">
        <v>10</v>
      </c>
      <c r="D1381" s="984">
        <v>4501.5485359280501</v>
      </c>
      <c r="E1381" s="985">
        <v>2835.7778134220798</v>
      </c>
      <c r="F1381" s="986">
        <v>0.100625523850398</v>
      </c>
      <c r="G1381" s="987">
        <v>6.3182590923267903E-2</v>
      </c>
    </row>
    <row r="1382" spans="1:7" x14ac:dyDescent="0.25">
      <c r="A1382" s="11" t="s">
        <v>3083</v>
      </c>
      <c r="B1382" s="11"/>
      <c r="C1382" s="988">
        <v>1</v>
      </c>
      <c r="D1382" s="988">
        <v>3337.6110188661</v>
      </c>
      <c r="E1382" s="989">
        <v>3702.4814753260298</v>
      </c>
      <c r="F1382" s="990">
        <v>7.4607405540951993E-2</v>
      </c>
      <c r="G1382" s="991">
        <v>8.2772335955514004E-2</v>
      </c>
    </row>
    <row r="1383" spans="1:7" x14ac:dyDescent="0.25">
      <c r="A1383" s="6" t="s">
        <v>3246</v>
      </c>
      <c r="B1383" s="6"/>
      <c r="C1383" s="984">
        <v>2</v>
      </c>
      <c r="D1383" s="984">
        <v>2435.8681656931399</v>
      </c>
      <c r="E1383" s="985">
        <v>2475.54957720223</v>
      </c>
      <c r="F1383" s="986">
        <v>5.4450264891534303E-2</v>
      </c>
      <c r="G1383" s="987">
        <v>5.5391215054034902E-2</v>
      </c>
    </row>
    <row r="1384" spans="1:7" x14ac:dyDescent="0.25">
      <c r="A1384" s="11" t="s">
        <v>3060</v>
      </c>
      <c r="B1384" s="11"/>
      <c r="C1384" s="988">
        <v>6</v>
      </c>
      <c r="D1384" s="988">
        <v>1970.58172193204</v>
      </c>
      <c r="E1384" s="989">
        <v>1508.3893228008201</v>
      </c>
      <c r="F1384" s="990">
        <v>4.4049467972369902E-2</v>
      </c>
      <c r="G1384" s="991">
        <v>3.3714348881410901E-2</v>
      </c>
    </row>
    <row r="1385" spans="1:7" x14ac:dyDescent="0.25">
      <c r="A1385" s="6" t="s">
        <v>1183</v>
      </c>
      <c r="B1385" s="6"/>
      <c r="C1385" s="984">
        <v>1</v>
      </c>
      <c r="D1385" s="984">
        <v>697.80214650540995</v>
      </c>
      <c r="E1385" s="985">
        <v>760.08932143514801</v>
      </c>
      <c r="F1385" s="986">
        <v>1.5598344875240399E-2</v>
      </c>
      <c r="G1385" s="987">
        <v>1.7021937987594101E-2</v>
      </c>
    </row>
    <row r="1386" spans="1:7" x14ac:dyDescent="0.25">
      <c r="A1386" s="11" t="s">
        <v>1033</v>
      </c>
      <c r="B1386" s="11"/>
      <c r="C1386" s="988">
        <v>5</v>
      </c>
      <c r="D1386" s="988">
        <v>420.51068871551701</v>
      </c>
      <c r="E1386" s="989">
        <v>255.80359700545901</v>
      </c>
      <c r="F1386" s="990">
        <v>9.3999005006767198E-3</v>
      </c>
      <c r="G1386" s="991">
        <v>5.7503372129019603E-3</v>
      </c>
    </row>
    <row r="1387" spans="1:7" x14ac:dyDescent="0.25">
      <c r="A1387" s="6" t="s">
        <v>3069</v>
      </c>
      <c r="B1387" s="6"/>
      <c r="C1387" s="984">
        <v>3</v>
      </c>
      <c r="D1387" s="984">
        <v>369.48355430046701</v>
      </c>
      <c r="E1387" s="985">
        <v>290.98511108691002</v>
      </c>
      <c r="F1387" s="986">
        <v>8.2592636531300893E-3</v>
      </c>
      <c r="G1387" s="987">
        <v>6.5080491811009599E-3</v>
      </c>
    </row>
    <row r="1388" spans="1:7" x14ac:dyDescent="0.25">
      <c r="A1388" s="11" t="s">
        <v>1019</v>
      </c>
      <c r="B1388" s="11"/>
      <c r="C1388" s="988">
        <v>4</v>
      </c>
      <c r="D1388" s="988">
        <v>359.95571523078502</v>
      </c>
      <c r="E1388" s="989">
        <v>376.51063739400399</v>
      </c>
      <c r="F1388" s="990">
        <v>8.0462827666868998E-3</v>
      </c>
      <c r="G1388" s="991">
        <v>8.4376857217604399E-3</v>
      </c>
    </row>
    <row r="1389" spans="1:7" x14ac:dyDescent="0.25">
      <c r="A1389" s="6" t="s">
        <v>1181</v>
      </c>
      <c r="B1389" s="6"/>
      <c r="C1389" s="984">
        <v>1</v>
      </c>
      <c r="D1389" s="984">
        <v>296.44300968283</v>
      </c>
      <c r="E1389" s="985">
        <v>316.76472633157601</v>
      </c>
      <c r="F1389" s="986">
        <v>6.6265492647795401E-3</v>
      </c>
      <c r="G1389" s="987">
        <v>7.0869632857837404E-3</v>
      </c>
    </row>
    <row r="1390" spans="1:7" x14ac:dyDescent="0.25">
      <c r="A1390" s="11" t="s">
        <v>1029</v>
      </c>
      <c r="B1390" s="11"/>
      <c r="C1390" s="988">
        <v>4</v>
      </c>
      <c r="D1390" s="988">
        <v>282.41248484046201</v>
      </c>
      <c r="E1390" s="989">
        <v>175.06427254859301</v>
      </c>
      <c r="F1390" s="990">
        <v>6.3129174332240004E-3</v>
      </c>
      <c r="G1390" s="991">
        <v>3.9015888272395799E-3</v>
      </c>
    </row>
    <row r="1391" spans="1:7" x14ac:dyDescent="0.25">
      <c r="A1391" s="6" t="s">
        <v>6458</v>
      </c>
      <c r="B1391" s="6"/>
      <c r="C1391" s="984">
        <v>1</v>
      </c>
      <c r="D1391" s="984">
        <v>97.466704813287905</v>
      </c>
      <c r="E1391" s="985">
        <v>100.406109909018</v>
      </c>
      <c r="F1391" s="986">
        <v>2.1787254211593798E-3</v>
      </c>
      <c r="G1391" s="987">
        <v>2.2437962677994499E-3</v>
      </c>
    </row>
    <row r="1392" spans="1:7" x14ac:dyDescent="0.25">
      <c r="A1392" s="11" t="s">
        <v>1035</v>
      </c>
      <c r="B1392" s="11"/>
      <c r="C1392" s="988">
        <v>1</v>
      </c>
      <c r="D1392" s="988">
        <v>93.825194651993201</v>
      </c>
      <c r="E1392" s="989">
        <v>93.830590266058294</v>
      </c>
      <c r="F1392" s="990">
        <v>2.0973247954275301E-3</v>
      </c>
      <c r="G1392" s="991">
        <v>2.0996601922318101E-3</v>
      </c>
    </row>
    <row r="1393" spans="1:7" x14ac:dyDescent="0.25">
      <c r="A1393" s="6" t="s">
        <v>1023</v>
      </c>
      <c r="B1393" s="6"/>
      <c r="C1393" s="984">
        <v>1</v>
      </c>
      <c r="D1393" s="984">
        <v>90.741923239307496</v>
      </c>
      <c r="E1393" s="985">
        <v>89.600347135510802</v>
      </c>
      <c r="F1393" s="986">
        <v>2.0284027792372801E-3</v>
      </c>
      <c r="G1393" s="987">
        <v>2.0020204766782201E-3</v>
      </c>
    </row>
    <row r="1394" spans="1:7" x14ac:dyDescent="0.25">
      <c r="A1394" s="11" t="s">
        <v>1075</v>
      </c>
      <c r="B1394" s="11"/>
      <c r="C1394" s="988">
        <v>2</v>
      </c>
      <c r="D1394" s="988">
        <v>81.073943563786997</v>
      </c>
      <c r="E1394" s="989">
        <v>51.218786933581796</v>
      </c>
      <c r="F1394" s="990">
        <v>1.81228925482235E-3</v>
      </c>
      <c r="G1394" s="991">
        <v>1.1401121360592799E-3</v>
      </c>
    </row>
    <row r="1395" spans="1:7" x14ac:dyDescent="0.25">
      <c r="A1395" s="6" t="s">
        <v>1031</v>
      </c>
      <c r="B1395" s="6"/>
      <c r="C1395" s="984">
        <v>1</v>
      </c>
      <c r="D1395" s="984">
        <v>78.604764209433696</v>
      </c>
      <c r="E1395" s="985">
        <v>79.597697200719196</v>
      </c>
      <c r="F1395" s="986">
        <v>1.7570943671010801E-3</v>
      </c>
      <c r="G1395" s="987">
        <v>1.78072665000891E-3</v>
      </c>
    </row>
    <row r="1396" spans="1:7" x14ac:dyDescent="0.25">
      <c r="A1396" s="11" t="s">
        <v>1179</v>
      </c>
      <c r="B1396" s="11"/>
      <c r="C1396" s="988">
        <v>4</v>
      </c>
      <c r="D1396" s="988">
        <v>51.076992387477503</v>
      </c>
      <c r="E1396" s="989">
        <v>51.736735034665003</v>
      </c>
      <c r="F1396" s="990">
        <v>1.1417513494904801E-3</v>
      </c>
      <c r="G1396" s="991">
        <v>1.15623488050498E-3</v>
      </c>
    </row>
    <row r="1397" spans="1:7" x14ac:dyDescent="0.25">
      <c r="A1397" s="6" t="s">
        <v>1077</v>
      </c>
      <c r="B1397" s="6"/>
      <c r="C1397" s="984">
        <v>1</v>
      </c>
      <c r="D1397" s="984">
        <v>24.4160064652987</v>
      </c>
      <c r="E1397" s="985">
        <v>25.905422386242499</v>
      </c>
      <c r="F1397" s="986">
        <v>5.4578406103953704E-4</v>
      </c>
      <c r="G1397" s="987">
        <v>5.7886733775779704E-4</v>
      </c>
    </row>
    <row r="1398" spans="1:7" x14ac:dyDescent="0.25">
      <c r="A1398" s="11" t="s">
        <v>982</v>
      </c>
      <c r="B1398" s="11" t="s">
        <v>983</v>
      </c>
      <c r="C1398" s="988">
        <v>1824</v>
      </c>
      <c r="D1398" s="988">
        <v>2344576.6673832</v>
      </c>
      <c r="E1398" s="989">
        <v>40175.548111569697</v>
      </c>
      <c r="F1398" s="990">
        <v>99.5785510275999</v>
      </c>
      <c r="G1398" s="991">
        <v>0.149676787217215</v>
      </c>
    </row>
    <row r="1399" spans="1:7" x14ac:dyDescent="0.25">
      <c r="A1399" s="6" t="s">
        <v>980</v>
      </c>
      <c r="B1399" s="6" t="s">
        <v>981</v>
      </c>
      <c r="C1399" s="984">
        <v>10</v>
      </c>
      <c r="D1399" s="984">
        <v>5801.4030785674204</v>
      </c>
      <c r="E1399" s="985">
        <v>4073.2247087790201</v>
      </c>
      <c r="F1399" s="986">
        <v>0.246396426496717</v>
      </c>
      <c r="G1399" s="987">
        <v>0.17227076004396499</v>
      </c>
    </row>
    <row r="1400" spans="1:7" x14ac:dyDescent="0.25">
      <c r="A1400" s="11" t="s">
        <v>978</v>
      </c>
      <c r="B1400" s="11" t="s">
        <v>1047</v>
      </c>
      <c r="C1400" s="988">
        <v>12</v>
      </c>
      <c r="D1400" s="988">
        <v>4121.6116367996001</v>
      </c>
      <c r="E1400" s="989">
        <v>1746.39375644097</v>
      </c>
      <c r="F1400" s="990">
        <v>0.17505254590333999</v>
      </c>
      <c r="G1400" s="991">
        <v>7.3848607449018999E-2</v>
      </c>
    </row>
    <row r="1401" spans="1:7" x14ac:dyDescent="0.25">
      <c r="A1401" s="6" t="s">
        <v>6293</v>
      </c>
      <c r="B1401" s="6" t="s">
        <v>6294</v>
      </c>
      <c r="C1401" s="984">
        <v>4235</v>
      </c>
      <c r="D1401" s="984">
        <v>4473565.3179014297</v>
      </c>
      <c r="E1401" s="985">
        <v>41357.970403371102</v>
      </c>
      <c r="F1401" s="986">
        <v>65.517321787379501</v>
      </c>
      <c r="G1401" s="987">
        <v>0.60570557549425197</v>
      </c>
    </row>
    <row r="1402" spans="1:7" x14ac:dyDescent="0.25">
      <c r="A1402" s="11" t="s">
        <v>6293</v>
      </c>
      <c r="B1402" s="11" t="s">
        <v>6295</v>
      </c>
      <c r="C1402" s="988">
        <v>6081</v>
      </c>
      <c r="D1402" s="988">
        <v>6828065</v>
      </c>
      <c r="E1402" s="989">
        <v>0</v>
      </c>
      <c r="F1402" s="990">
        <v>100</v>
      </c>
      <c r="G1402" s="991">
        <v>0</v>
      </c>
    </row>
    <row r="1403" spans="1:7" x14ac:dyDescent="0.25">
      <c r="A1403" s="3353" t="s">
        <v>411</v>
      </c>
      <c r="B1403" s="3354"/>
      <c r="C1403" s="3354"/>
      <c r="D1403" s="3354"/>
      <c r="E1403" s="3354"/>
      <c r="F1403" s="3354"/>
      <c r="G1403" s="3354"/>
    </row>
    <row r="1404" spans="1:7" x14ac:dyDescent="0.25">
      <c r="A1404" s="11" t="s">
        <v>1174</v>
      </c>
      <c r="B1404" s="11"/>
      <c r="C1404" s="996">
        <v>5214</v>
      </c>
      <c r="D1404" s="996">
        <v>5477040.87704226</v>
      </c>
      <c r="E1404" s="997">
        <v>66433.603984541201</v>
      </c>
      <c r="F1404" s="998">
        <v>85.785944172000498</v>
      </c>
      <c r="G1404" s="999">
        <v>0.97729483897395197</v>
      </c>
    </row>
    <row r="1405" spans="1:7" x14ac:dyDescent="0.25">
      <c r="A1405" s="6" t="s">
        <v>6298</v>
      </c>
      <c r="B1405" s="6"/>
      <c r="C1405" s="992">
        <v>159</v>
      </c>
      <c r="D1405" s="992">
        <v>238672.66140806599</v>
      </c>
      <c r="E1405" s="993">
        <v>33563.085533969701</v>
      </c>
      <c r="F1405" s="994">
        <v>3.7382886245669198</v>
      </c>
      <c r="G1405" s="995">
        <v>0.52355331931576499</v>
      </c>
    </row>
    <row r="1406" spans="1:7" x14ac:dyDescent="0.25">
      <c r="A1406" s="11" t="s">
        <v>6296</v>
      </c>
      <c r="B1406" s="11"/>
      <c r="C1406" s="996">
        <v>160</v>
      </c>
      <c r="D1406" s="996">
        <v>210341.787727004</v>
      </c>
      <c r="E1406" s="997">
        <v>34845.884004653002</v>
      </c>
      <c r="F1406" s="998">
        <v>3.2945470490503199</v>
      </c>
      <c r="G1406" s="999">
        <v>0.54618243138303402</v>
      </c>
    </row>
    <row r="1407" spans="1:7" x14ac:dyDescent="0.25">
      <c r="A1407" s="6" t="s">
        <v>6297</v>
      </c>
      <c r="B1407" s="6"/>
      <c r="C1407" s="992">
        <v>95</v>
      </c>
      <c r="D1407" s="992">
        <v>133211.79720868901</v>
      </c>
      <c r="E1407" s="993">
        <v>32675.062244428202</v>
      </c>
      <c r="F1407" s="994">
        <v>2.08647334481237</v>
      </c>
      <c r="G1407" s="995">
        <v>0.510968264533052</v>
      </c>
    </row>
    <row r="1408" spans="1:7" x14ac:dyDescent="0.25">
      <c r="A1408" s="11" t="s">
        <v>6300</v>
      </c>
      <c r="B1408" s="11"/>
      <c r="C1408" s="996">
        <v>55</v>
      </c>
      <c r="D1408" s="996">
        <v>94182.449699459597</v>
      </c>
      <c r="E1408" s="997">
        <v>25191.545638505799</v>
      </c>
      <c r="F1408" s="998">
        <v>1.4751634236959099</v>
      </c>
      <c r="G1408" s="999">
        <v>0.395368599578928</v>
      </c>
    </row>
    <row r="1409" spans="1:7" x14ac:dyDescent="0.25">
      <c r="A1409" s="6" t="s">
        <v>6299</v>
      </c>
      <c r="B1409" s="6"/>
      <c r="C1409" s="992">
        <v>64</v>
      </c>
      <c r="D1409" s="992">
        <v>80337.3312303946</v>
      </c>
      <c r="E1409" s="993">
        <v>19590.952600155299</v>
      </c>
      <c r="F1409" s="994">
        <v>1.2583097272007</v>
      </c>
      <c r="G1409" s="995">
        <v>0.30773915940734903</v>
      </c>
    </row>
    <row r="1410" spans="1:7" x14ac:dyDescent="0.25">
      <c r="A1410" s="11" t="s">
        <v>6302</v>
      </c>
      <c r="B1410" s="11"/>
      <c r="C1410" s="996">
        <v>58</v>
      </c>
      <c r="D1410" s="996">
        <v>64551.040951060197</v>
      </c>
      <c r="E1410" s="997">
        <v>26578.5398196024</v>
      </c>
      <c r="F1410" s="998">
        <v>1.0110517923069799</v>
      </c>
      <c r="G1410" s="999">
        <v>0.41707565459676099</v>
      </c>
    </row>
    <row r="1411" spans="1:7" x14ac:dyDescent="0.25">
      <c r="A1411" s="6" t="s">
        <v>1025</v>
      </c>
      <c r="B1411" s="6"/>
      <c r="C1411" s="992">
        <v>8</v>
      </c>
      <c r="D1411" s="992">
        <v>27121.448859477001</v>
      </c>
      <c r="E1411" s="993">
        <v>14118.8239084665</v>
      </c>
      <c r="F1411" s="994">
        <v>0.42479856366880098</v>
      </c>
      <c r="G1411" s="995">
        <v>0.22121420017132501</v>
      </c>
    </row>
    <row r="1412" spans="1:7" x14ac:dyDescent="0.25">
      <c r="A1412" s="11" t="s">
        <v>1017</v>
      </c>
      <c r="B1412" s="11"/>
      <c r="C1412" s="996">
        <v>16</v>
      </c>
      <c r="D1412" s="996">
        <v>22061.831737355998</v>
      </c>
      <c r="E1412" s="997">
        <v>11635.7176804064</v>
      </c>
      <c r="F1412" s="998">
        <v>0.34555065558958198</v>
      </c>
      <c r="G1412" s="999">
        <v>0.18242799046012001</v>
      </c>
    </row>
    <row r="1413" spans="1:7" x14ac:dyDescent="0.25">
      <c r="A1413" s="6" t="s">
        <v>1021</v>
      </c>
      <c r="B1413" s="6"/>
      <c r="C1413" s="992">
        <v>5</v>
      </c>
      <c r="D1413" s="992">
        <v>13870.5698002197</v>
      </c>
      <c r="E1413" s="993">
        <v>7577.5966878938898</v>
      </c>
      <c r="F1413" s="994">
        <v>0.21725233629405799</v>
      </c>
      <c r="G1413" s="995">
        <v>0.118635626248453</v>
      </c>
    </row>
    <row r="1414" spans="1:7" x14ac:dyDescent="0.25">
      <c r="A1414" s="11" t="s">
        <v>6301</v>
      </c>
      <c r="B1414" s="11"/>
      <c r="C1414" s="996">
        <v>25</v>
      </c>
      <c r="D1414" s="996">
        <v>13317.7544369519</v>
      </c>
      <c r="E1414" s="997">
        <v>7036.4000673866703</v>
      </c>
      <c r="F1414" s="998">
        <v>0.20859368485154201</v>
      </c>
      <c r="G1414" s="999">
        <v>0.11025546822031</v>
      </c>
    </row>
    <row r="1415" spans="1:7" x14ac:dyDescent="0.25">
      <c r="A1415" s="6" t="s">
        <v>3058</v>
      </c>
      <c r="B1415" s="6"/>
      <c r="C1415" s="992">
        <v>1</v>
      </c>
      <c r="D1415" s="992">
        <v>6508.2357774224301</v>
      </c>
      <c r="E1415" s="993">
        <v>6270.6706399239301</v>
      </c>
      <c r="F1415" s="994">
        <v>0.101937371583336</v>
      </c>
      <c r="G1415" s="995">
        <v>9.8211359126925205E-2</v>
      </c>
    </row>
    <row r="1416" spans="1:7" x14ac:dyDescent="0.25">
      <c r="A1416" s="11" t="s">
        <v>6303</v>
      </c>
      <c r="B1416" s="11"/>
      <c r="C1416" s="996">
        <v>4</v>
      </c>
      <c r="D1416" s="996">
        <v>2041.82271243026</v>
      </c>
      <c r="E1416" s="997">
        <v>1295.9054423693599</v>
      </c>
      <c r="F1416" s="998">
        <v>3.1980716074599701E-2</v>
      </c>
      <c r="G1416" s="999">
        <v>2.0324393250793799E-2</v>
      </c>
    </row>
    <row r="1417" spans="1:7" x14ac:dyDescent="0.25">
      <c r="A1417" s="6" t="s">
        <v>1027</v>
      </c>
      <c r="B1417" s="6"/>
      <c r="C1417" s="992">
        <v>3</v>
      </c>
      <c r="D1417" s="992">
        <v>788.04691895353699</v>
      </c>
      <c r="E1417" s="993">
        <v>733.04656632921296</v>
      </c>
      <c r="F1417" s="994">
        <v>1.23430426231861E-2</v>
      </c>
      <c r="G1417" s="995">
        <v>1.14809326381471E-2</v>
      </c>
    </row>
    <row r="1418" spans="1:7" x14ac:dyDescent="0.25">
      <c r="A1418" s="11" t="s">
        <v>1019</v>
      </c>
      <c r="B1418" s="11"/>
      <c r="C1418" s="996">
        <v>1</v>
      </c>
      <c r="D1418" s="996">
        <v>402.14949360624098</v>
      </c>
      <c r="E1418" s="997">
        <v>430.32881848201703</v>
      </c>
      <c r="F1418" s="998">
        <v>6.29879797901627E-3</v>
      </c>
      <c r="G1418" s="999">
        <v>6.7404829549280801E-3</v>
      </c>
    </row>
    <row r="1419" spans="1:7" x14ac:dyDescent="0.25">
      <c r="A1419" s="6" t="s">
        <v>1179</v>
      </c>
      <c r="B1419" s="6"/>
      <c r="C1419" s="992">
        <v>1</v>
      </c>
      <c r="D1419" s="992">
        <v>68.986371890753205</v>
      </c>
      <c r="E1419" s="993">
        <v>72.073181543984504</v>
      </c>
      <c r="F1419" s="994">
        <v>1.0805216138618499E-3</v>
      </c>
      <c r="G1419" s="995">
        <v>1.1289610335275301E-3</v>
      </c>
    </row>
    <row r="1420" spans="1:7" x14ac:dyDescent="0.25">
      <c r="A1420" s="11" t="s">
        <v>1177</v>
      </c>
      <c r="B1420" s="11"/>
      <c r="C1420" s="996">
        <v>1</v>
      </c>
      <c r="D1420" s="996">
        <v>24.6555801419807</v>
      </c>
      <c r="E1420" s="997">
        <v>25.388093632636998</v>
      </c>
      <c r="F1420" s="998">
        <v>3.8617608834251598E-4</v>
      </c>
      <c r="G1420" s="999">
        <v>3.9768760027576402E-4</v>
      </c>
    </row>
    <row r="1421" spans="1:7" x14ac:dyDescent="0.25">
      <c r="A1421" s="6" t="s">
        <v>982</v>
      </c>
      <c r="B1421" s="6"/>
      <c r="C1421" s="992">
        <v>204</v>
      </c>
      <c r="D1421" s="992">
        <v>429859.990420477</v>
      </c>
      <c r="E1421" s="993">
        <v>8.2760638930812896E-2</v>
      </c>
      <c r="F1421" s="994">
        <v>96.919752257729201</v>
      </c>
      <c r="G1421" s="995">
        <v>2.3203901619698302</v>
      </c>
    </row>
    <row r="1422" spans="1:7" x14ac:dyDescent="0.25">
      <c r="A1422" s="11" t="s">
        <v>978</v>
      </c>
      <c r="B1422" s="11" t="s">
        <v>1047</v>
      </c>
      <c r="C1422" s="996">
        <v>3</v>
      </c>
      <c r="D1422" s="996">
        <v>13607.1783602129</v>
      </c>
      <c r="E1422" s="997">
        <v>10490.050711833999</v>
      </c>
      <c r="F1422" s="998">
        <v>3.067985820938</v>
      </c>
      <c r="G1422" s="999">
        <v>2.3231426118899301</v>
      </c>
    </row>
    <row r="1423" spans="1:7" x14ac:dyDescent="0.25">
      <c r="A1423" s="6" t="s">
        <v>980</v>
      </c>
      <c r="B1423" s="6" t="s">
        <v>1041</v>
      </c>
      <c r="C1423" s="992">
        <v>2</v>
      </c>
      <c r="D1423" s="992">
        <v>54.3842639285076</v>
      </c>
      <c r="E1423" s="993">
        <v>34.169070298786202</v>
      </c>
      <c r="F1423" s="994">
        <v>1.2261921332836901E-2</v>
      </c>
      <c r="G1423" s="995">
        <v>7.7734717212014004E-3</v>
      </c>
    </row>
    <row r="1424" spans="1:7" x14ac:dyDescent="0.25">
      <c r="A1424" s="11" t="s">
        <v>6293</v>
      </c>
      <c r="B1424" s="11" t="s">
        <v>6294</v>
      </c>
      <c r="C1424" s="996">
        <v>5870</v>
      </c>
      <c r="D1424" s="996">
        <v>6384543.44695538</v>
      </c>
      <c r="E1424" s="997">
        <v>10479.047256608699</v>
      </c>
      <c r="F1424" s="998">
        <v>93.504432763240899</v>
      </c>
      <c r="G1424" s="999">
        <v>0.15347023287886</v>
      </c>
    </row>
    <row r="1425" spans="1:7" x14ac:dyDescent="0.25">
      <c r="A1425" s="6" t="s">
        <v>6293</v>
      </c>
      <c r="B1425" s="6" t="s">
        <v>6295</v>
      </c>
      <c r="C1425" s="992">
        <v>6079</v>
      </c>
      <c r="D1425" s="992">
        <v>6828065</v>
      </c>
      <c r="E1425" s="993">
        <v>0</v>
      </c>
      <c r="F1425" s="994">
        <v>100</v>
      </c>
      <c r="G1425" s="995">
        <v>0</v>
      </c>
    </row>
    <row r="1426" spans="1:7" x14ac:dyDescent="0.25">
      <c r="A1426" s="3353" t="s">
        <v>52</v>
      </c>
      <c r="B1426" s="3354"/>
      <c r="C1426" s="3354"/>
      <c r="D1426" s="3354"/>
      <c r="E1426" s="3354"/>
      <c r="F1426" s="3354"/>
      <c r="G1426" s="3354"/>
    </row>
    <row r="1427" spans="1:7" x14ac:dyDescent="0.25">
      <c r="A1427" s="11" t="s">
        <v>1174</v>
      </c>
      <c r="B1427" s="11"/>
      <c r="C1427" s="1004">
        <v>206</v>
      </c>
      <c r="D1427" s="1004">
        <v>315677.37956763501</v>
      </c>
      <c r="E1427" s="1005">
        <v>42759.884699019902</v>
      </c>
      <c r="F1427" s="1006">
        <v>35.000909696792299</v>
      </c>
      <c r="G1427" s="1007">
        <v>3.2670175633200098</v>
      </c>
    </row>
    <row r="1428" spans="1:7" x14ac:dyDescent="0.25">
      <c r="A1428" s="6" t="s">
        <v>6296</v>
      </c>
      <c r="B1428" s="6"/>
      <c r="C1428" s="1000">
        <v>127</v>
      </c>
      <c r="D1428" s="1000">
        <v>169061.92192468999</v>
      </c>
      <c r="E1428" s="1001">
        <v>24093.176536181301</v>
      </c>
      <c r="F1428" s="1002">
        <v>18.744837119963499</v>
      </c>
      <c r="G1428" s="1003">
        <v>3.12566332575549</v>
      </c>
    </row>
    <row r="1429" spans="1:7" x14ac:dyDescent="0.25">
      <c r="A1429" s="11" t="s">
        <v>6298</v>
      </c>
      <c r="B1429" s="11"/>
      <c r="C1429" s="1004">
        <v>121</v>
      </c>
      <c r="D1429" s="1004">
        <v>157374.42765467201</v>
      </c>
      <c r="E1429" s="1005">
        <v>33650.749981648303</v>
      </c>
      <c r="F1429" s="1006">
        <v>17.448979519754801</v>
      </c>
      <c r="G1429" s="1007">
        <v>3.9232225018077602</v>
      </c>
    </row>
    <row r="1430" spans="1:7" x14ac:dyDescent="0.25">
      <c r="A1430" s="6" t="s">
        <v>6297</v>
      </c>
      <c r="B1430" s="6"/>
      <c r="C1430" s="1000">
        <v>68</v>
      </c>
      <c r="D1430" s="1000">
        <v>86477.519521851602</v>
      </c>
      <c r="E1430" s="1001">
        <v>25035.563082651599</v>
      </c>
      <c r="F1430" s="1002">
        <v>9.5882443516622509</v>
      </c>
      <c r="G1430" s="1003">
        <v>2.6962130821661199</v>
      </c>
    </row>
    <row r="1431" spans="1:7" x14ac:dyDescent="0.25">
      <c r="A1431" s="11" t="s">
        <v>6300</v>
      </c>
      <c r="B1431" s="11"/>
      <c r="C1431" s="1004">
        <v>38</v>
      </c>
      <c r="D1431" s="1004">
        <v>66693.190362295703</v>
      </c>
      <c r="E1431" s="1005">
        <v>23334.240879328601</v>
      </c>
      <c r="F1431" s="1006">
        <v>7.3946455601566097</v>
      </c>
      <c r="G1431" s="1007">
        <v>2.3546998461210999</v>
      </c>
    </row>
    <row r="1432" spans="1:7" x14ac:dyDescent="0.25">
      <c r="A1432" s="6" t="s">
        <v>6299</v>
      </c>
      <c r="B1432" s="6"/>
      <c r="C1432" s="1000">
        <v>44</v>
      </c>
      <c r="D1432" s="1000">
        <v>59822.373450361403</v>
      </c>
      <c r="E1432" s="1001">
        <v>23094.0913753073</v>
      </c>
      <c r="F1432" s="1002">
        <v>6.63283981212619</v>
      </c>
      <c r="G1432" s="1003">
        <v>2.5290933523280299</v>
      </c>
    </row>
    <row r="1433" spans="1:7" x14ac:dyDescent="0.25">
      <c r="A1433" s="11" t="s">
        <v>6302</v>
      </c>
      <c r="B1433" s="11"/>
      <c r="C1433" s="1004">
        <v>31</v>
      </c>
      <c r="D1433" s="1004">
        <v>20998.671751285801</v>
      </c>
      <c r="E1433" s="1005">
        <v>10300.4516329219</v>
      </c>
      <c r="F1433" s="1006">
        <v>2.3282397196973199</v>
      </c>
      <c r="G1433" s="1007">
        <v>1.0812046004147999</v>
      </c>
    </row>
    <row r="1434" spans="1:7" x14ac:dyDescent="0.25">
      <c r="A1434" s="6" t="s">
        <v>1017</v>
      </c>
      <c r="B1434" s="6"/>
      <c r="C1434" s="1000">
        <v>3</v>
      </c>
      <c r="D1434" s="1000">
        <v>7994.8559003496703</v>
      </c>
      <c r="E1434" s="1001">
        <v>6733.6907702893004</v>
      </c>
      <c r="F1434" s="1002">
        <v>0.886434212645418</v>
      </c>
      <c r="G1434" s="1003">
        <v>0.730297212054554</v>
      </c>
    </row>
    <row r="1435" spans="1:7" x14ac:dyDescent="0.25">
      <c r="A1435" s="11" t="s">
        <v>3058</v>
      </c>
      <c r="B1435" s="11"/>
      <c r="C1435" s="1004">
        <v>1</v>
      </c>
      <c r="D1435" s="1004">
        <v>6508.2357774224301</v>
      </c>
      <c r="E1435" s="1005">
        <v>6270.6706399239301</v>
      </c>
      <c r="F1435" s="1006">
        <v>0.72160435772430498</v>
      </c>
      <c r="G1435" s="1007">
        <v>0.701849705125145</v>
      </c>
    </row>
    <row r="1436" spans="1:7" x14ac:dyDescent="0.25">
      <c r="A1436" s="6" t="s">
        <v>1025</v>
      </c>
      <c r="B1436" s="6"/>
      <c r="C1436" s="1000">
        <v>3</v>
      </c>
      <c r="D1436" s="1000">
        <v>5962.7032189252604</v>
      </c>
      <c r="E1436" s="1001">
        <v>5670.3740426103996</v>
      </c>
      <c r="F1436" s="1002">
        <v>0.66111812382698998</v>
      </c>
      <c r="G1436" s="1003">
        <v>0.63484231155637905</v>
      </c>
    </row>
    <row r="1437" spans="1:7" x14ac:dyDescent="0.25">
      <c r="A1437" s="11" t="s">
        <v>6301</v>
      </c>
      <c r="B1437" s="11"/>
      <c r="C1437" s="1004">
        <v>13</v>
      </c>
      <c r="D1437" s="1004">
        <v>4020.8077757105002</v>
      </c>
      <c r="E1437" s="1005">
        <v>2283.9361363963098</v>
      </c>
      <c r="F1437" s="1006">
        <v>0.44580935782777797</v>
      </c>
      <c r="G1437" s="1007">
        <v>0.24122823193722301</v>
      </c>
    </row>
    <row r="1438" spans="1:7" x14ac:dyDescent="0.25">
      <c r="A1438" s="6" t="s">
        <v>6303</v>
      </c>
      <c r="B1438" s="6"/>
      <c r="C1438" s="1000">
        <v>1</v>
      </c>
      <c r="D1438" s="1000">
        <v>1319.8413912424801</v>
      </c>
      <c r="E1438" s="1001">
        <v>1343.9759184381801</v>
      </c>
      <c r="F1438" s="1002">
        <v>0.14633816782259801</v>
      </c>
      <c r="G1438" s="1003">
        <v>0.148895621682642</v>
      </c>
    </row>
    <row r="1439" spans="1:7" x14ac:dyDescent="0.25">
      <c r="A1439" s="11" t="s">
        <v>982</v>
      </c>
      <c r="B1439" s="11" t="s">
        <v>983</v>
      </c>
      <c r="C1439" s="1004">
        <v>5423</v>
      </c>
      <c r="D1439" s="1004">
        <v>5920562.43008688</v>
      </c>
      <c r="E1439" s="1005">
        <v>61834.6559927341</v>
      </c>
      <c r="F1439" s="1006">
        <v>99.905661538791904</v>
      </c>
      <c r="G1439" s="1007">
        <v>8.9875739173302799E-2</v>
      </c>
    </row>
    <row r="1440" spans="1:7" x14ac:dyDescent="0.25">
      <c r="A1440" s="6" t="s">
        <v>978</v>
      </c>
      <c r="B1440" s="6" t="s">
        <v>1047</v>
      </c>
      <c r="C1440" s="1000">
        <v>1</v>
      </c>
      <c r="D1440" s="1000">
        <v>5024.1679261966001</v>
      </c>
      <c r="E1440" s="1001">
        <v>5331.6704183822403</v>
      </c>
      <c r="F1440" s="1002">
        <v>8.4779584081049103E-2</v>
      </c>
      <c r="G1440" s="1003">
        <v>8.9904661581310802E-2</v>
      </c>
    </row>
    <row r="1441" spans="1:7" x14ac:dyDescent="0.25">
      <c r="A1441" s="11" t="s">
        <v>980</v>
      </c>
      <c r="B1441" s="11" t="s">
        <v>1041</v>
      </c>
      <c r="C1441" s="1004">
        <v>1</v>
      </c>
      <c r="D1441" s="1004">
        <v>566.47369048433404</v>
      </c>
      <c r="E1441" s="1005">
        <v>617.48272628375503</v>
      </c>
      <c r="F1441" s="1006">
        <v>9.5588771270380402E-3</v>
      </c>
      <c r="G1441" s="1007">
        <v>1.0427325053999599E-2</v>
      </c>
    </row>
    <row r="1442" spans="1:7" x14ac:dyDescent="0.25">
      <c r="A1442" s="6" t="s">
        <v>6293</v>
      </c>
      <c r="B1442" s="6" t="s">
        <v>6294</v>
      </c>
      <c r="C1442" s="1000">
        <v>656</v>
      </c>
      <c r="D1442" s="1000">
        <v>901911.92829644203</v>
      </c>
      <c r="E1442" s="1001">
        <v>64295.123640311504</v>
      </c>
      <c r="F1442" s="1002">
        <v>13.208894881587099</v>
      </c>
      <c r="G1442" s="1003">
        <v>0.94163022232961002</v>
      </c>
    </row>
    <row r="1443" spans="1:7" x14ac:dyDescent="0.25">
      <c r="A1443" s="11" t="s">
        <v>6293</v>
      </c>
      <c r="B1443" s="11" t="s">
        <v>6295</v>
      </c>
      <c r="C1443" s="1004">
        <v>6081</v>
      </c>
      <c r="D1443" s="1004">
        <v>6828065.0000000102</v>
      </c>
      <c r="E1443" s="1005">
        <v>0</v>
      </c>
      <c r="F1443" s="1006">
        <v>100</v>
      </c>
      <c r="G1443" s="1007">
        <v>0</v>
      </c>
    </row>
    <row r="1444" spans="1:7" x14ac:dyDescent="0.25">
      <c r="A1444" s="3353" t="s">
        <v>72</v>
      </c>
      <c r="B1444" s="3354"/>
      <c r="C1444" s="3354"/>
      <c r="D1444" s="3354"/>
      <c r="E1444" s="3354"/>
      <c r="F1444" s="3354"/>
      <c r="G1444" s="3354"/>
    </row>
    <row r="1445" spans="1:7" x14ac:dyDescent="0.25">
      <c r="A1445" s="11" t="s">
        <v>1174</v>
      </c>
      <c r="B1445" s="11"/>
      <c r="C1445" s="1012">
        <v>640</v>
      </c>
      <c r="D1445" s="1012">
        <v>877624.47351686296</v>
      </c>
      <c r="E1445" s="1013">
        <v>60065.9506332526</v>
      </c>
      <c r="F1445" s="1014">
        <v>97.545736642482296</v>
      </c>
      <c r="G1445" s="1015">
        <v>1.3183152662615001</v>
      </c>
    </row>
    <row r="1446" spans="1:7" x14ac:dyDescent="0.25">
      <c r="A1446" s="6" t="s">
        <v>1179</v>
      </c>
      <c r="B1446" s="6"/>
      <c r="C1446" s="1008">
        <v>1</v>
      </c>
      <c r="D1446" s="1008">
        <v>6508.2357774224301</v>
      </c>
      <c r="E1446" s="1009">
        <v>6270.6706399239301</v>
      </c>
      <c r="F1446" s="1010">
        <v>0.72337391710103904</v>
      </c>
      <c r="G1446" s="1011">
        <v>0.70369117651879298</v>
      </c>
    </row>
    <row r="1447" spans="1:7" x14ac:dyDescent="0.25">
      <c r="A1447" s="11" t="s">
        <v>3099</v>
      </c>
      <c r="B1447" s="11"/>
      <c r="C1447" s="1012">
        <v>1</v>
      </c>
      <c r="D1447" s="1012">
        <v>5893.7168470345096</v>
      </c>
      <c r="E1447" s="1013">
        <v>5675.31736377989</v>
      </c>
      <c r="F1447" s="1014">
        <v>0.65507169496127704</v>
      </c>
      <c r="G1447" s="1015">
        <v>0.637268459139257</v>
      </c>
    </row>
    <row r="1448" spans="1:7" x14ac:dyDescent="0.25">
      <c r="A1448" s="6" t="s">
        <v>6300</v>
      </c>
      <c r="B1448" s="6"/>
      <c r="C1448" s="1008">
        <v>3</v>
      </c>
      <c r="D1448" s="1008">
        <v>2894.1405635720798</v>
      </c>
      <c r="E1448" s="1009">
        <v>2924.13586598144</v>
      </c>
      <c r="F1448" s="1010">
        <v>0.32167639091607803</v>
      </c>
      <c r="G1448" s="1011">
        <v>0.32450811515456501</v>
      </c>
    </row>
    <row r="1449" spans="1:7" x14ac:dyDescent="0.25">
      <c r="A1449" s="11" t="s">
        <v>6304</v>
      </c>
      <c r="B1449" s="11"/>
      <c r="C1449" s="1012">
        <v>1</v>
      </c>
      <c r="D1449" s="1012">
        <v>2502.5605453038602</v>
      </c>
      <c r="E1449" s="1013">
        <v>2693.90187833346</v>
      </c>
      <c r="F1449" s="1014">
        <v>0.27815326401034701</v>
      </c>
      <c r="G1449" s="1015">
        <v>0.29794429405839801</v>
      </c>
    </row>
    <row r="1450" spans="1:7" x14ac:dyDescent="0.25">
      <c r="A1450" s="6" t="s">
        <v>1017</v>
      </c>
      <c r="B1450" s="6"/>
      <c r="C1450" s="1008">
        <v>2</v>
      </c>
      <c r="D1450" s="1008">
        <v>1350.27581238327</v>
      </c>
      <c r="E1450" s="1009">
        <v>1088.13908373508</v>
      </c>
      <c r="F1450" s="1010">
        <v>0.15007973542675099</v>
      </c>
      <c r="G1450" s="1011">
        <v>0.122852694281817</v>
      </c>
    </row>
    <row r="1451" spans="1:7" x14ac:dyDescent="0.25">
      <c r="A1451" s="11" t="s">
        <v>1027</v>
      </c>
      <c r="B1451" s="11"/>
      <c r="C1451" s="1012">
        <v>1</v>
      </c>
      <c r="D1451" s="1012">
        <v>818.55020574481398</v>
      </c>
      <c r="E1451" s="1013">
        <v>854.80280032123505</v>
      </c>
      <c r="F1451" s="1014">
        <v>9.0979781452846201E-2</v>
      </c>
      <c r="G1451" s="1015">
        <v>9.5376267108609095E-2</v>
      </c>
    </row>
    <row r="1452" spans="1:7" x14ac:dyDescent="0.25">
      <c r="A1452" s="6" t="s">
        <v>6298</v>
      </c>
      <c r="B1452" s="6"/>
      <c r="C1452" s="1008">
        <v>1</v>
      </c>
      <c r="D1452" s="1008">
        <v>806.57180074807104</v>
      </c>
      <c r="E1452" s="1009">
        <v>811.76841931857996</v>
      </c>
      <c r="F1452" s="1010">
        <v>8.9648412086484899E-2</v>
      </c>
      <c r="G1452" s="1011">
        <v>9.0617507851125795E-2</v>
      </c>
    </row>
    <row r="1453" spans="1:7" x14ac:dyDescent="0.25">
      <c r="A1453" s="11" t="s">
        <v>6297</v>
      </c>
      <c r="B1453" s="11"/>
      <c r="C1453" s="1012">
        <v>2</v>
      </c>
      <c r="D1453" s="1012">
        <v>543.79357144498601</v>
      </c>
      <c r="E1453" s="1013">
        <v>453.24233454310098</v>
      </c>
      <c r="F1453" s="1014">
        <v>6.0441277686211103E-2</v>
      </c>
      <c r="G1453" s="1015">
        <v>4.9946844847592202E-2</v>
      </c>
    </row>
    <row r="1454" spans="1:7" x14ac:dyDescent="0.25">
      <c r="A1454" s="6" t="s">
        <v>6301</v>
      </c>
      <c r="B1454" s="6"/>
      <c r="C1454" s="1008">
        <v>1</v>
      </c>
      <c r="D1454" s="1008">
        <v>431.199206422484</v>
      </c>
      <c r="E1454" s="1009">
        <v>451.47262200061499</v>
      </c>
      <c r="F1454" s="1010">
        <v>4.7926699288117401E-2</v>
      </c>
      <c r="G1454" s="1011">
        <v>5.0400722243916798E-2</v>
      </c>
    </row>
    <row r="1455" spans="1:7" x14ac:dyDescent="0.25">
      <c r="A1455" s="11" t="s">
        <v>6303</v>
      </c>
      <c r="B1455" s="11"/>
      <c r="C1455" s="1012">
        <v>1</v>
      </c>
      <c r="D1455" s="1012">
        <v>153.424323584223</v>
      </c>
      <c r="E1455" s="1013">
        <v>154.25880048578</v>
      </c>
      <c r="F1455" s="1014">
        <v>1.7052724843605999E-2</v>
      </c>
      <c r="G1455" s="1015">
        <v>1.7131468719820998E-2</v>
      </c>
    </row>
    <row r="1456" spans="1:7" x14ac:dyDescent="0.25">
      <c r="A1456" s="6" t="s">
        <v>6296</v>
      </c>
      <c r="B1456" s="6"/>
      <c r="C1456" s="1008">
        <v>1</v>
      </c>
      <c r="D1456" s="1008">
        <v>152.10111218224199</v>
      </c>
      <c r="E1456" s="1009">
        <v>159.52446760135601</v>
      </c>
      <c r="F1456" s="1010">
        <v>1.6905653248823801E-2</v>
      </c>
      <c r="G1456" s="1011">
        <v>1.7771527119650601E-2</v>
      </c>
    </row>
    <row r="1457" spans="1:7" x14ac:dyDescent="0.25">
      <c r="A1457" s="11" t="s">
        <v>3062</v>
      </c>
      <c r="B1457" s="11"/>
      <c r="C1457" s="1012">
        <v>1</v>
      </c>
      <c r="D1457" s="1012">
        <v>26.575563015053699</v>
      </c>
      <c r="E1457" s="1013">
        <v>26.7501186831335</v>
      </c>
      <c r="F1457" s="1014">
        <v>2.9538064960791099E-3</v>
      </c>
      <c r="G1457" s="1015">
        <v>2.9828571200881198E-3</v>
      </c>
    </row>
    <row r="1458" spans="1:7" x14ac:dyDescent="0.25">
      <c r="A1458" s="6" t="s">
        <v>982</v>
      </c>
      <c r="B1458" s="6" t="s">
        <v>983</v>
      </c>
      <c r="C1458" s="1008">
        <v>5423</v>
      </c>
      <c r="D1458" s="1008">
        <v>5920562.43008688</v>
      </c>
      <c r="E1458" s="1009">
        <v>61834.6559927341</v>
      </c>
      <c r="F1458" s="1010">
        <v>99.868480458654602</v>
      </c>
      <c r="G1458" s="1011">
        <v>0.115636922139604</v>
      </c>
    </row>
    <row r="1459" spans="1:7" x14ac:dyDescent="0.25">
      <c r="A1459" s="11" t="s">
        <v>978</v>
      </c>
      <c r="B1459" s="11" t="s">
        <v>1047</v>
      </c>
      <c r="C1459" s="1012">
        <v>2</v>
      </c>
      <c r="D1459" s="1012">
        <v>7796.9510674028397</v>
      </c>
      <c r="E1459" s="1013">
        <v>6837.03118050793</v>
      </c>
      <c r="F1459" s="1014">
        <v>0.13151954134542901</v>
      </c>
      <c r="G1459" s="1015">
        <v>0.115636922139616</v>
      </c>
    </row>
    <row r="1460" spans="1:7" x14ac:dyDescent="0.25">
      <c r="A1460" s="6" t="s">
        <v>6293</v>
      </c>
      <c r="B1460" s="6" t="s">
        <v>6294</v>
      </c>
      <c r="C1460" s="1008">
        <v>656</v>
      </c>
      <c r="D1460" s="1008">
        <v>899705.61884572101</v>
      </c>
      <c r="E1460" s="1009">
        <v>60846.692343203496</v>
      </c>
      <c r="F1460" s="1010">
        <v>13.176582514163499</v>
      </c>
      <c r="G1460" s="1011">
        <v>0.89112643689247295</v>
      </c>
    </row>
    <row r="1461" spans="1:7" x14ac:dyDescent="0.25">
      <c r="A1461" s="11" t="s">
        <v>6293</v>
      </c>
      <c r="B1461" s="11" t="s">
        <v>6295</v>
      </c>
      <c r="C1461" s="1012">
        <v>6081</v>
      </c>
      <c r="D1461" s="1012">
        <v>6828065.0000000102</v>
      </c>
      <c r="E1461" s="1013">
        <v>0</v>
      </c>
      <c r="F1461" s="1014">
        <v>100</v>
      </c>
      <c r="G1461" s="1015">
        <v>0</v>
      </c>
    </row>
    <row r="1462" spans="1:7" x14ac:dyDescent="0.25">
      <c r="A1462" s="3353" t="s">
        <v>55</v>
      </c>
      <c r="B1462" s="3354"/>
      <c r="C1462" s="3354"/>
      <c r="D1462" s="3354"/>
      <c r="E1462" s="3354"/>
      <c r="F1462" s="3354"/>
      <c r="G1462" s="3354"/>
    </row>
    <row r="1463" spans="1:7" x14ac:dyDescent="0.25">
      <c r="A1463" s="11" t="s">
        <v>984</v>
      </c>
      <c r="B1463" s="11" t="s">
        <v>1053</v>
      </c>
      <c r="C1463" s="1020">
        <v>63</v>
      </c>
      <c r="D1463" s="1020">
        <v>61074.580369938798</v>
      </c>
      <c r="E1463" s="1021">
        <v>19045.388137998802</v>
      </c>
      <c r="F1463" s="1022">
        <v>100</v>
      </c>
      <c r="G1463" s="1023">
        <v>0</v>
      </c>
    </row>
    <row r="1464" spans="1:7" x14ac:dyDescent="0.25">
      <c r="A1464" s="6" t="s">
        <v>982</v>
      </c>
      <c r="B1464" s="6" t="s">
        <v>983</v>
      </c>
      <c r="C1464" s="1016">
        <v>5752</v>
      </c>
      <c r="D1464" s="1016">
        <v>6325933.1136656301</v>
      </c>
      <c r="E1464" s="1017">
        <v>57061.686203803598</v>
      </c>
      <c r="F1464" s="1018">
        <v>93.482223579259099</v>
      </c>
      <c r="G1464" s="1019">
        <v>0.72881612760225001</v>
      </c>
    </row>
    <row r="1465" spans="1:7" x14ac:dyDescent="0.25">
      <c r="A1465" s="11" t="s">
        <v>996</v>
      </c>
      <c r="B1465" s="11" t="s">
        <v>997</v>
      </c>
      <c r="C1465" s="1020">
        <v>266</v>
      </c>
      <c r="D1465" s="1020">
        <v>441057.30596444401</v>
      </c>
      <c r="E1465" s="1021">
        <v>48974.148120598897</v>
      </c>
      <c r="F1465" s="1022">
        <v>6.5177764207408897</v>
      </c>
      <c r="G1465" s="1023">
        <v>0.72881612760224901</v>
      </c>
    </row>
    <row r="1466" spans="1:7" x14ac:dyDescent="0.25">
      <c r="A1466" s="6" t="s">
        <v>6293</v>
      </c>
      <c r="B1466" s="6" t="s">
        <v>6294</v>
      </c>
      <c r="C1466" s="1016">
        <v>63</v>
      </c>
      <c r="D1466" s="1016">
        <v>61074.580369938798</v>
      </c>
      <c r="E1466" s="1017">
        <v>19045.388137998802</v>
      </c>
      <c r="F1466" s="1018">
        <v>0.89446395677162804</v>
      </c>
      <c r="G1466" s="1019">
        <v>0.27892804386013798</v>
      </c>
    </row>
    <row r="1467" spans="1:7" x14ac:dyDescent="0.25">
      <c r="A1467" s="11" t="s">
        <v>6293</v>
      </c>
      <c r="B1467" s="11" t="s">
        <v>6295</v>
      </c>
      <c r="C1467" s="1020">
        <v>6081</v>
      </c>
      <c r="D1467" s="1020">
        <v>6828065.0000000102</v>
      </c>
      <c r="E1467" s="1021">
        <v>0</v>
      </c>
      <c r="F1467" s="1022">
        <v>100</v>
      </c>
      <c r="G1467" s="1023">
        <v>0</v>
      </c>
    </row>
    <row r="1468" spans="1:7" x14ac:dyDescent="0.25">
      <c r="A1468" s="3353" t="s">
        <v>60</v>
      </c>
      <c r="B1468" s="3354"/>
      <c r="C1468" s="3354"/>
      <c r="D1468" s="3354"/>
      <c r="E1468" s="3354"/>
      <c r="F1468" s="3354"/>
      <c r="G1468" s="3354"/>
    </row>
    <row r="1469" spans="1:7" x14ac:dyDescent="0.25">
      <c r="A1469" s="11" t="s">
        <v>988</v>
      </c>
      <c r="B1469" s="11" t="s">
        <v>1055</v>
      </c>
      <c r="C1469" s="1028">
        <v>46</v>
      </c>
      <c r="D1469" s="1028">
        <v>56789.222737227101</v>
      </c>
      <c r="E1469" s="1029">
        <v>20014.4574821569</v>
      </c>
      <c r="F1469" s="1030">
        <v>100</v>
      </c>
      <c r="G1469" s="1031">
        <v>0</v>
      </c>
    </row>
    <row r="1470" spans="1:7" x14ac:dyDescent="0.25">
      <c r="A1470" s="6" t="s">
        <v>982</v>
      </c>
      <c r="B1470" s="6" t="s">
        <v>983</v>
      </c>
      <c r="C1470" s="1024">
        <v>5769</v>
      </c>
      <c r="D1470" s="1024">
        <v>6330218.4712983398</v>
      </c>
      <c r="E1470" s="1025">
        <v>46453.652824114899</v>
      </c>
      <c r="F1470" s="1026">
        <v>93.4863485039929</v>
      </c>
      <c r="G1470" s="1027">
        <v>0.71722891746252604</v>
      </c>
    </row>
    <row r="1471" spans="1:7" x14ac:dyDescent="0.25">
      <c r="A1471" s="11" t="s">
        <v>996</v>
      </c>
      <c r="B1471" s="11" t="s">
        <v>997</v>
      </c>
      <c r="C1471" s="1028">
        <v>266</v>
      </c>
      <c r="D1471" s="1028">
        <v>441057.30596444401</v>
      </c>
      <c r="E1471" s="1029">
        <v>48974.148120598897</v>
      </c>
      <c r="F1471" s="1030">
        <v>6.5136514960070997</v>
      </c>
      <c r="G1471" s="1031">
        <v>0.71722891746252404</v>
      </c>
    </row>
    <row r="1472" spans="1:7" x14ac:dyDescent="0.25">
      <c r="A1472" s="6" t="s">
        <v>6293</v>
      </c>
      <c r="B1472" s="6" t="s">
        <v>6294</v>
      </c>
      <c r="C1472" s="1024">
        <v>46</v>
      </c>
      <c r="D1472" s="1024">
        <v>56789.222737227101</v>
      </c>
      <c r="E1472" s="1025">
        <v>20014.4574821569</v>
      </c>
      <c r="F1472" s="1026">
        <v>0.83170301889667198</v>
      </c>
      <c r="G1472" s="1027">
        <v>0.29312048848622402</v>
      </c>
    </row>
    <row r="1473" spans="1:7" x14ac:dyDescent="0.25">
      <c r="A1473" s="11" t="s">
        <v>6293</v>
      </c>
      <c r="B1473" s="11" t="s">
        <v>6295</v>
      </c>
      <c r="C1473" s="1028">
        <v>6081</v>
      </c>
      <c r="D1473" s="1028">
        <v>6828065.0000000102</v>
      </c>
      <c r="E1473" s="1029">
        <v>0</v>
      </c>
      <c r="F1473" s="1030">
        <v>100</v>
      </c>
      <c r="G1473" s="1031">
        <v>0</v>
      </c>
    </row>
    <row r="1474" spans="1:7" x14ac:dyDescent="0.25">
      <c r="A1474" s="3353" t="s">
        <v>62</v>
      </c>
      <c r="B1474" s="3354"/>
      <c r="C1474" s="3354"/>
      <c r="D1474" s="3354"/>
      <c r="E1474" s="3354"/>
      <c r="F1474" s="3354"/>
      <c r="G1474" s="3354"/>
    </row>
    <row r="1475" spans="1:7" x14ac:dyDescent="0.25">
      <c r="A1475" s="11" t="s">
        <v>990</v>
      </c>
      <c r="B1475" s="11" t="s">
        <v>1056</v>
      </c>
      <c r="C1475" s="1036">
        <v>45</v>
      </c>
      <c r="D1475" s="1036">
        <v>68663.429506644403</v>
      </c>
      <c r="E1475" s="1037">
        <v>19035.0302107565</v>
      </c>
      <c r="F1475" s="1038">
        <v>100</v>
      </c>
      <c r="G1475" s="1039">
        <v>0</v>
      </c>
    </row>
    <row r="1476" spans="1:7" x14ac:dyDescent="0.25">
      <c r="A1476" s="6" t="s">
        <v>982</v>
      </c>
      <c r="B1476" s="6" t="s">
        <v>983</v>
      </c>
      <c r="C1476" s="1032">
        <v>5770</v>
      </c>
      <c r="D1476" s="1032">
        <v>6318344.2645289199</v>
      </c>
      <c r="E1476" s="1033">
        <v>44997.802491422597</v>
      </c>
      <c r="F1476" s="1034">
        <v>93.474906005144305</v>
      </c>
      <c r="G1476" s="1035">
        <v>0.71761536669597703</v>
      </c>
    </row>
    <row r="1477" spans="1:7" x14ac:dyDescent="0.25">
      <c r="A1477" s="11" t="s">
        <v>996</v>
      </c>
      <c r="B1477" s="11" t="s">
        <v>997</v>
      </c>
      <c r="C1477" s="1036">
        <v>266</v>
      </c>
      <c r="D1477" s="1036">
        <v>441057.30596444401</v>
      </c>
      <c r="E1477" s="1037">
        <v>48974.148120598897</v>
      </c>
      <c r="F1477" s="1038">
        <v>6.5250939948556903</v>
      </c>
      <c r="G1477" s="1039">
        <v>0.71761536669597703</v>
      </c>
    </row>
    <row r="1478" spans="1:7" x14ac:dyDescent="0.25">
      <c r="A1478" s="6" t="s">
        <v>6293</v>
      </c>
      <c r="B1478" s="6" t="s">
        <v>6294</v>
      </c>
      <c r="C1478" s="1032">
        <v>45</v>
      </c>
      <c r="D1478" s="1032">
        <v>68663.429506644403</v>
      </c>
      <c r="E1478" s="1033">
        <v>19035.0302107565</v>
      </c>
      <c r="F1478" s="1034">
        <v>1.0056059733854901</v>
      </c>
      <c r="G1478" s="1035">
        <v>0.278776347482873</v>
      </c>
    </row>
    <row r="1479" spans="1:7" x14ac:dyDescent="0.25">
      <c r="A1479" s="11" t="s">
        <v>6293</v>
      </c>
      <c r="B1479" s="11" t="s">
        <v>6295</v>
      </c>
      <c r="C1479" s="1036">
        <v>6081</v>
      </c>
      <c r="D1479" s="1036">
        <v>6828065.0000000102</v>
      </c>
      <c r="E1479" s="1037">
        <v>0</v>
      </c>
      <c r="F1479" s="1038">
        <v>100</v>
      </c>
      <c r="G1479" s="1039">
        <v>0</v>
      </c>
    </row>
    <row r="1480" spans="1:7" x14ac:dyDescent="0.25">
      <c r="A1480" s="3353" t="s">
        <v>64</v>
      </c>
      <c r="B1480" s="3354"/>
      <c r="C1480" s="3354"/>
      <c r="D1480" s="3354"/>
      <c r="E1480" s="3354"/>
      <c r="F1480" s="3354"/>
      <c r="G1480" s="3354"/>
    </row>
    <row r="1481" spans="1:7" x14ac:dyDescent="0.25">
      <c r="A1481" s="11" t="s">
        <v>992</v>
      </c>
      <c r="B1481" s="11" t="s">
        <v>1057</v>
      </c>
      <c r="C1481" s="1044">
        <v>87</v>
      </c>
      <c r="D1481" s="1044">
        <v>133887.844946962</v>
      </c>
      <c r="E1481" s="1045">
        <v>35079.377849975303</v>
      </c>
      <c r="F1481" s="1046">
        <v>100</v>
      </c>
      <c r="G1481" s="1047">
        <v>0</v>
      </c>
    </row>
    <row r="1482" spans="1:7" x14ac:dyDescent="0.25">
      <c r="A1482" s="6" t="s">
        <v>982</v>
      </c>
      <c r="B1482" s="6" t="s">
        <v>983</v>
      </c>
      <c r="C1482" s="1040">
        <v>5728</v>
      </c>
      <c r="D1482" s="1040">
        <v>6253119.8490885999</v>
      </c>
      <c r="E1482" s="1041">
        <v>59292.048594923101</v>
      </c>
      <c r="F1482" s="1042">
        <v>93.411329043906207</v>
      </c>
      <c r="G1482" s="1043">
        <v>0.73146828851787205</v>
      </c>
    </row>
    <row r="1483" spans="1:7" x14ac:dyDescent="0.25">
      <c r="A1483" s="11" t="s">
        <v>996</v>
      </c>
      <c r="B1483" s="11" t="s">
        <v>997</v>
      </c>
      <c r="C1483" s="1044">
        <v>266</v>
      </c>
      <c r="D1483" s="1044">
        <v>441057.30596444401</v>
      </c>
      <c r="E1483" s="1045">
        <v>48974.148120598897</v>
      </c>
      <c r="F1483" s="1046">
        <v>6.5886709560937602</v>
      </c>
      <c r="G1483" s="1047">
        <v>0.73146828851786805</v>
      </c>
    </row>
    <row r="1484" spans="1:7" x14ac:dyDescent="0.25">
      <c r="A1484" s="6" t="s">
        <v>6293</v>
      </c>
      <c r="B1484" s="6" t="s">
        <v>6294</v>
      </c>
      <c r="C1484" s="1040">
        <v>87</v>
      </c>
      <c r="D1484" s="1040">
        <v>133887.844946962</v>
      </c>
      <c r="E1484" s="1041">
        <v>35079.377849975303</v>
      </c>
      <c r="F1484" s="1042">
        <v>1.9608460807997901</v>
      </c>
      <c r="G1484" s="1043">
        <v>0.51375283993305898</v>
      </c>
    </row>
    <row r="1485" spans="1:7" x14ac:dyDescent="0.25">
      <c r="A1485" s="11" t="s">
        <v>6293</v>
      </c>
      <c r="B1485" s="11" t="s">
        <v>6295</v>
      </c>
      <c r="C1485" s="1044">
        <v>6081</v>
      </c>
      <c r="D1485" s="1044">
        <v>6828065.0000000102</v>
      </c>
      <c r="E1485" s="1045">
        <v>0</v>
      </c>
      <c r="F1485" s="1046">
        <v>100</v>
      </c>
      <c r="G1485" s="1047">
        <v>0</v>
      </c>
    </row>
    <row r="1486" spans="1:7" x14ac:dyDescent="0.25">
      <c r="A1486" s="3353" t="s">
        <v>66</v>
      </c>
      <c r="B1486" s="3354"/>
      <c r="C1486" s="3354"/>
      <c r="D1486" s="3354"/>
      <c r="E1486" s="3354"/>
      <c r="F1486" s="3354"/>
      <c r="G1486" s="3354"/>
    </row>
    <row r="1487" spans="1:7" x14ac:dyDescent="0.25">
      <c r="A1487" s="11" t="s">
        <v>994</v>
      </c>
      <c r="B1487" s="11" t="s">
        <v>1058</v>
      </c>
      <c r="C1487" s="1052">
        <v>65</v>
      </c>
      <c r="D1487" s="1052">
        <v>74316.181475771198</v>
      </c>
      <c r="E1487" s="1053">
        <v>18697.229902658401</v>
      </c>
      <c r="F1487" s="1054">
        <v>100</v>
      </c>
      <c r="G1487" s="1055">
        <v>0</v>
      </c>
    </row>
    <row r="1488" spans="1:7" x14ac:dyDescent="0.25">
      <c r="A1488" s="6" t="s">
        <v>982</v>
      </c>
      <c r="B1488" s="6" t="s">
        <v>983</v>
      </c>
      <c r="C1488" s="1048">
        <v>5750</v>
      </c>
      <c r="D1488" s="1048">
        <v>6312691.5125597902</v>
      </c>
      <c r="E1488" s="1049">
        <v>54602.270039419498</v>
      </c>
      <c r="F1488" s="1050">
        <v>93.469444632665201</v>
      </c>
      <c r="G1488" s="1051">
        <v>0.72743223972391702</v>
      </c>
    </row>
    <row r="1489" spans="1:7" x14ac:dyDescent="0.25">
      <c r="A1489" s="11" t="s">
        <v>996</v>
      </c>
      <c r="B1489" s="11" t="s">
        <v>997</v>
      </c>
      <c r="C1489" s="1052">
        <v>266</v>
      </c>
      <c r="D1489" s="1052">
        <v>441057.30596444401</v>
      </c>
      <c r="E1489" s="1053">
        <v>48974.148120598897</v>
      </c>
      <c r="F1489" s="1054">
        <v>6.53055536733478</v>
      </c>
      <c r="G1489" s="1055">
        <v>0.72743223972391102</v>
      </c>
    </row>
    <row r="1490" spans="1:7" x14ac:dyDescent="0.25">
      <c r="A1490" s="6" t="s">
        <v>6293</v>
      </c>
      <c r="B1490" s="6" t="s">
        <v>6294</v>
      </c>
      <c r="C1490" s="1048">
        <v>65</v>
      </c>
      <c r="D1490" s="1048">
        <v>74316.181475771198</v>
      </c>
      <c r="E1490" s="1049">
        <v>18697.229902658401</v>
      </c>
      <c r="F1490" s="1050">
        <v>1.08839299971179</v>
      </c>
      <c r="G1490" s="1051">
        <v>0.27382911414373401</v>
      </c>
    </row>
    <row r="1491" spans="1:7" x14ac:dyDescent="0.25">
      <c r="A1491" s="11" t="s">
        <v>6293</v>
      </c>
      <c r="B1491" s="11" t="s">
        <v>6295</v>
      </c>
      <c r="C1491" s="1052">
        <v>6081</v>
      </c>
      <c r="D1491" s="1052">
        <v>6828065.0000000102</v>
      </c>
      <c r="E1491" s="1053">
        <v>0</v>
      </c>
      <c r="F1491" s="1054">
        <v>100</v>
      </c>
      <c r="G1491" s="1055">
        <v>0</v>
      </c>
    </row>
    <row r="1492" spans="1:7" x14ac:dyDescent="0.25">
      <c r="A1492" s="3353" t="s">
        <v>68</v>
      </c>
      <c r="B1492" s="3354"/>
      <c r="C1492" s="3354"/>
      <c r="D1492" s="3354"/>
      <c r="E1492" s="3354"/>
      <c r="F1492" s="3354"/>
      <c r="G1492" s="3354"/>
    </row>
    <row r="1493" spans="1:7" x14ac:dyDescent="0.25">
      <c r="A1493" s="11" t="s">
        <v>986</v>
      </c>
      <c r="B1493" s="11" t="s">
        <v>1054</v>
      </c>
      <c r="C1493" s="1060">
        <v>24</v>
      </c>
      <c r="D1493" s="1060">
        <v>15038.332596492601</v>
      </c>
      <c r="E1493" s="1061">
        <v>7822.5758475058401</v>
      </c>
      <c r="F1493" s="1062">
        <v>100</v>
      </c>
      <c r="G1493" s="1063">
        <v>0</v>
      </c>
    </row>
    <row r="1494" spans="1:7" x14ac:dyDescent="0.25">
      <c r="A1494" s="6" t="s">
        <v>982</v>
      </c>
      <c r="B1494" s="6" t="s">
        <v>983</v>
      </c>
      <c r="C1494" s="1056">
        <v>5791</v>
      </c>
      <c r="D1494" s="1056">
        <v>6371969.3614390697</v>
      </c>
      <c r="E1494" s="1057">
        <v>52314.854377494303</v>
      </c>
      <c r="F1494" s="1058">
        <v>93.526264793962198</v>
      </c>
      <c r="G1494" s="1059">
        <v>0.72151765088518804</v>
      </c>
    </row>
    <row r="1495" spans="1:7" x14ac:dyDescent="0.25">
      <c r="A1495" s="11" t="s">
        <v>996</v>
      </c>
      <c r="B1495" s="11" t="s">
        <v>997</v>
      </c>
      <c r="C1495" s="1060">
        <v>266</v>
      </c>
      <c r="D1495" s="1060">
        <v>441057.30596444401</v>
      </c>
      <c r="E1495" s="1061">
        <v>48974.148120598897</v>
      </c>
      <c r="F1495" s="1062">
        <v>6.4737352060377802</v>
      </c>
      <c r="G1495" s="1063">
        <v>0.72151765088518505</v>
      </c>
    </row>
    <row r="1496" spans="1:7" x14ac:dyDescent="0.25">
      <c r="A1496" s="6" t="s">
        <v>6293</v>
      </c>
      <c r="B1496" s="6" t="s">
        <v>6294</v>
      </c>
      <c r="C1496" s="1056">
        <v>24</v>
      </c>
      <c r="D1496" s="1056">
        <v>15038.332596492601</v>
      </c>
      <c r="E1496" s="1057">
        <v>7822.5758475058401</v>
      </c>
      <c r="F1496" s="1058">
        <v>0.22024296190051701</v>
      </c>
      <c r="G1496" s="1059">
        <v>0.114565046576239</v>
      </c>
    </row>
    <row r="1497" spans="1:7" x14ac:dyDescent="0.25">
      <c r="A1497" s="11" t="s">
        <v>6293</v>
      </c>
      <c r="B1497" s="11" t="s">
        <v>6295</v>
      </c>
      <c r="C1497" s="1060">
        <v>6081</v>
      </c>
      <c r="D1497" s="1060">
        <v>6828065.0000000102</v>
      </c>
      <c r="E1497" s="1061">
        <v>0</v>
      </c>
      <c r="F1497" s="1062">
        <v>100</v>
      </c>
      <c r="G1497" s="1063">
        <v>0</v>
      </c>
    </row>
    <row r="1498" spans="1:7" x14ac:dyDescent="0.25">
      <c r="A1498" s="3353" t="s">
        <v>75</v>
      </c>
      <c r="B1498" s="3354"/>
      <c r="C1498" s="3354"/>
      <c r="D1498" s="3354"/>
      <c r="E1498" s="3354"/>
      <c r="F1498" s="3354"/>
      <c r="G1498" s="3354"/>
    </row>
    <row r="1499" spans="1:7" x14ac:dyDescent="0.25">
      <c r="A1499" s="11" t="s">
        <v>1003</v>
      </c>
      <c r="B1499" s="11" t="s">
        <v>1059</v>
      </c>
      <c r="C1499" s="1068">
        <v>231</v>
      </c>
      <c r="D1499" s="1068">
        <v>239207.64226954</v>
      </c>
      <c r="E1499" s="1069">
        <v>35752.408322616102</v>
      </c>
      <c r="F1499" s="1070">
        <v>100</v>
      </c>
      <c r="G1499" s="1071">
        <v>0</v>
      </c>
    </row>
    <row r="1500" spans="1:7" x14ac:dyDescent="0.25">
      <c r="A1500" s="6" t="s">
        <v>982</v>
      </c>
      <c r="B1500" s="6" t="s">
        <v>983</v>
      </c>
      <c r="C1500" s="1064">
        <v>5584</v>
      </c>
      <c r="D1500" s="1064">
        <v>6147800.0517660202</v>
      </c>
      <c r="E1500" s="1065">
        <v>44798.637832091998</v>
      </c>
      <c r="F1500" s="1066">
        <v>93.306012226126498</v>
      </c>
      <c r="G1500" s="1067">
        <v>0.72684422418525496</v>
      </c>
    </row>
    <row r="1501" spans="1:7" x14ac:dyDescent="0.25">
      <c r="A1501" s="11" t="s">
        <v>996</v>
      </c>
      <c r="B1501" s="11" t="s">
        <v>997</v>
      </c>
      <c r="C1501" s="1068">
        <v>266</v>
      </c>
      <c r="D1501" s="1068">
        <v>441057.30596444401</v>
      </c>
      <c r="E1501" s="1069">
        <v>48974.148120598897</v>
      </c>
      <c r="F1501" s="1070">
        <v>6.6939877738735296</v>
      </c>
      <c r="G1501" s="1071">
        <v>0.72684422418525896</v>
      </c>
    </row>
    <row r="1502" spans="1:7" x14ac:dyDescent="0.25">
      <c r="A1502" s="6" t="s">
        <v>6293</v>
      </c>
      <c r="B1502" s="6" t="s">
        <v>6294</v>
      </c>
      <c r="C1502" s="1064">
        <v>231</v>
      </c>
      <c r="D1502" s="1064">
        <v>239207.64226954</v>
      </c>
      <c r="E1502" s="1065">
        <v>35752.408322616102</v>
      </c>
      <c r="F1502" s="1066">
        <v>3.5033006022868798</v>
      </c>
      <c r="G1502" s="1067">
        <v>0.52360966573423096</v>
      </c>
    </row>
    <row r="1503" spans="1:7" x14ac:dyDescent="0.25">
      <c r="A1503" s="11" t="s">
        <v>6293</v>
      </c>
      <c r="B1503" s="11" t="s">
        <v>6295</v>
      </c>
      <c r="C1503" s="1068">
        <v>6081</v>
      </c>
      <c r="D1503" s="1068">
        <v>6828065.0000000102</v>
      </c>
      <c r="E1503" s="1069">
        <v>0</v>
      </c>
      <c r="F1503" s="1070">
        <v>100</v>
      </c>
      <c r="G1503" s="1071">
        <v>0</v>
      </c>
    </row>
    <row r="1504" spans="1:7" x14ac:dyDescent="0.25">
      <c r="A1504" s="3353" t="s">
        <v>58</v>
      </c>
      <c r="B1504" s="3354"/>
      <c r="C1504" s="3354"/>
      <c r="D1504" s="3354"/>
      <c r="E1504" s="3354"/>
      <c r="F1504" s="3354"/>
      <c r="G1504" s="3354"/>
    </row>
    <row r="1505" spans="1:7" x14ac:dyDescent="0.25">
      <c r="A1505" s="11" t="s">
        <v>982</v>
      </c>
      <c r="B1505" s="11" t="s">
        <v>983</v>
      </c>
      <c r="C1505" s="1076">
        <v>5814</v>
      </c>
      <c r="D1505" s="1076">
        <v>6386975.0926955398</v>
      </c>
      <c r="E1505" s="1077">
        <v>48979.280338616103</v>
      </c>
      <c r="F1505" s="1078">
        <v>93.540045279233993</v>
      </c>
      <c r="G1505" s="1079">
        <v>0.71732299470806504</v>
      </c>
    </row>
    <row r="1506" spans="1:7" x14ac:dyDescent="0.25">
      <c r="A1506" s="6" t="s">
        <v>996</v>
      </c>
      <c r="B1506" s="6" t="s">
        <v>997</v>
      </c>
      <c r="C1506" s="1072">
        <v>266</v>
      </c>
      <c r="D1506" s="1072">
        <v>441057.30596444401</v>
      </c>
      <c r="E1506" s="1073">
        <v>48974.148120598897</v>
      </c>
      <c r="F1506" s="1074">
        <v>6.4594772598743999</v>
      </c>
      <c r="G1506" s="1075">
        <v>0.71724783112930302</v>
      </c>
    </row>
    <row r="1507" spans="1:7" x14ac:dyDescent="0.25">
      <c r="A1507" s="11" t="s">
        <v>978</v>
      </c>
      <c r="B1507" s="11" t="s">
        <v>979</v>
      </c>
      <c r="C1507" s="1076">
        <v>1</v>
      </c>
      <c r="D1507" s="1076">
        <v>32.601340030012899</v>
      </c>
      <c r="E1507" s="1077">
        <v>32.986180279884898</v>
      </c>
      <c r="F1507" s="1078">
        <v>4.7746089162907599E-4</v>
      </c>
      <c r="G1507" s="1079">
        <v>4.8309704550095602E-4</v>
      </c>
    </row>
    <row r="1508" spans="1:7" x14ac:dyDescent="0.25">
      <c r="A1508" s="6" t="s">
        <v>6293</v>
      </c>
      <c r="B1508" s="6" t="s">
        <v>6294</v>
      </c>
      <c r="C1508" s="1072">
        <v>0</v>
      </c>
      <c r="D1508" s="1072">
        <v>0</v>
      </c>
      <c r="E1508" s="1073">
        <v>0</v>
      </c>
      <c r="F1508" s="1074">
        <v>0</v>
      </c>
      <c r="G1508" s="1075">
        <v>0</v>
      </c>
    </row>
    <row r="1509" spans="1:7" x14ac:dyDescent="0.25">
      <c r="A1509" s="11" t="s">
        <v>6293</v>
      </c>
      <c r="B1509" s="11" t="s">
        <v>6295</v>
      </c>
      <c r="C1509" s="1076">
        <v>6081</v>
      </c>
      <c r="D1509" s="1076">
        <v>6828065.0000000102</v>
      </c>
      <c r="E1509" s="1077">
        <v>0</v>
      </c>
      <c r="F1509" s="1078">
        <v>100</v>
      </c>
      <c r="G1509" s="1079">
        <v>0</v>
      </c>
    </row>
    <row r="1510" spans="1:7" x14ac:dyDescent="0.25">
      <c r="A1510" s="3353" t="s">
        <v>70</v>
      </c>
      <c r="B1510" s="3354"/>
      <c r="C1510" s="3354"/>
      <c r="D1510" s="3354"/>
      <c r="E1510" s="3354"/>
      <c r="F1510" s="3354"/>
      <c r="G1510" s="3354"/>
    </row>
    <row r="1511" spans="1:7" x14ac:dyDescent="0.25">
      <c r="A1511" s="11" t="s">
        <v>982</v>
      </c>
      <c r="B1511" s="11" t="s">
        <v>983</v>
      </c>
      <c r="C1511" s="1084">
        <v>5814</v>
      </c>
      <c r="D1511" s="1084">
        <v>6386575.36918109</v>
      </c>
      <c r="E1511" s="1085">
        <v>48907.693235938801</v>
      </c>
      <c r="F1511" s="1086">
        <v>93.534191153439195</v>
      </c>
      <c r="G1511" s="1087">
        <v>0.71627457026165298</v>
      </c>
    </row>
    <row r="1512" spans="1:7" x14ac:dyDescent="0.25">
      <c r="A1512" s="6" t="s">
        <v>996</v>
      </c>
      <c r="B1512" s="6" t="s">
        <v>997</v>
      </c>
      <c r="C1512" s="1080">
        <v>266</v>
      </c>
      <c r="D1512" s="1080">
        <v>441057.30596444401</v>
      </c>
      <c r="E1512" s="1081">
        <v>48974.148120598897</v>
      </c>
      <c r="F1512" s="1082">
        <v>6.4594772598743999</v>
      </c>
      <c r="G1512" s="1083">
        <v>0.71724783112930302</v>
      </c>
    </row>
    <row r="1513" spans="1:7" x14ac:dyDescent="0.25">
      <c r="A1513" s="11" t="s">
        <v>980</v>
      </c>
      <c r="B1513" s="11" t="s">
        <v>981</v>
      </c>
      <c r="C1513" s="1084">
        <v>1</v>
      </c>
      <c r="D1513" s="1084">
        <v>432.32485448053399</v>
      </c>
      <c r="E1513" s="1085">
        <v>442.287565782451</v>
      </c>
      <c r="F1513" s="1086">
        <v>6.3315866864262901E-3</v>
      </c>
      <c r="G1513" s="1087">
        <v>6.4774949532913099E-3</v>
      </c>
    </row>
    <row r="1514" spans="1:7" x14ac:dyDescent="0.25">
      <c r="A1514" s="6" t="s">
        <v>6293</v>
      </c>
      <c r="B1514" s="6" t="s">
        <v>6294</v>
      </c>
      <c r="C1514" s="1080">
        <v>0</v>
      </c>
      <c r="D1514" s="1080">
        <v>0</v>
      </c>
      <c r="E1514" s="1081">
        <v>0</v>
      </c>
      <c r="F1514" s="1082">
        <v>0</v>
      </c>
      <c r="G1514" s="1083">
        <v>0</v>
      </c>
    </row>
    <row r="1515" spans="1:7" x14ac:dyDescent="0.25">
      <c r="A1515" s="11" t="s">
        <v>6293</v>
      </c>
      <c r="B1515" s="11" t="s">
        <v>6295</v>
      </c>
      <c r="C1515" s="1084">
        <v>6081</v>
      </c>
      <c r="D1515" s="1084">
        <v>6828065.0000000102</v>
      </c>
      <c r="E1515" s="1085">
        <v>0</v>
      </c>
      <c r="F1515" s="1086">
        <v>100</v>
      </c>
      <c r="G1515" s="1087">
        <v>0</v>
      </c>
    </row>
    <row r="1516" spans="1:7" x14ac:dyDescent="0.25">
      <c r="A1516" s="3353" t="s">
        <v>860</v>
      </c>
      <c r="B1516" s="3354"/>
      <c r="C1516" s="3354"/>
      <c r="D1516" s="3354"/>
      <c r="E1516" s="3354"/>
      <c r="F1516" s="3354"/>
      <c r="G1516" s="3354"/>
    </row>
    <row r="1517" spans="1:7" x14ac:dyDescent="0.25">
      <c r="A1517" s="11" t="s">
        <v>984</v>
      </c>
      <c r="B1517" s="11" t="s">
        <v>1053</v>
      </c>
      <c r="C1517" s="1092">
        <v>481</v>
      </c>
      <c r="D1517" s="1092">
        <v>424703.31201375299</v>
      </c>
      <c r="E1517" s="1093">
        <v>47188.583457603701</v>
      </c>
      <c r="F1517" s="1094">
        <v>100</v>
      </c>
      <c r="G1517" s="1095">
        <v>0</v>
      </c>
    </row>
    <row r="1518" spans="1:7" x14ac:dyDescent="0.25">
      <c r="A1518" s="6" t="s">
        <v>982</v>
      </c>
      <c r="B1518" s="6" t="s">
        <v>983</v>
      </c>
      <c r="C1518" s="1088">
        <v>5591</v>
      </c>
      <c r="D1518" s="1088">
        <v>6394287.8819001503</v>
      </c>
      <c r="E1518" s="1089">
        <v>45718.369875079698</v>
      </c>
      <c r="F1518" s="1090">
        <v>99.858296211767495</v>
      </c>
      <c r="G1518" s="1091">
        <v>8.11425136848275E-2</v>
      </c>
    </row>
    <row r="1519" spans="1:7" x14ac:dyDescent="0.25">
      <c r="A1519" s="11" t="s">
        <v>996</v>
      </c>
      <c r="B1519" s="11" t="s">
        <v>997</v>
      </c>
      <c r="C1519" s="1092">
        <v>9</v>
      </c>
      <c r="D1519" s="1092">
        <v>9073.8060861081194</v>
      </c>
      <c r="E1519" s="1093">
        <v>5217.6389174207297</v>
      </c>
      <c r="F1519" s="1094">
        <v>0.14170378823254701</v>
      </c>
      <c r="G1519" s="1095">
        <v>8.1142513684839102E-2</v>
      </c>
    </row>
    <row r="1520" spans="1:7" x14ac:dyDescent="0.25">
      <c r="A1520" s="6" t="s">
        <v>6293</v>
      </c>
      <c r="B1520" s="6" t="s">
        <v>6294</v>
      </c>
      <c r="C1520" s="1088">
        <v>481</v>
      </c>
      <c r="D1520" s="1088">
        <v>424703.31201375299</v>
      </c>
      <c r="E1520" s="1089">
        <v>47188.583457603701</v>
      </c>
      <c r="F1520" s="1090">
        <v>6.2199658616863198</v>
      </c>
      <c r="G1520" s="1091">
        <v>0.69109745524690502</v>
      </c>
    </row>
    <row r="1521" spans="1:7" x14ac:dyDescent="0.25">
      <c r="A1521" s="11" t="s">
        <v>6293</v>
      </c>
      <c r="B1521" s="11" t="s">
        <v>6295</v>
      </c>
      <c r="C1521" s="1092">
        <v>6081</v>
      </c>
      <c r="D1521" s="1092">
        <v>6828065.0000000196</v>
      </c>
      <c r="E1521" s="1093">
        <v>0</v>
      </c>
      <c r="F1521" s="1094">
        <v>100</v>
      </c>
      <c r="G1521" s="1095">
        <v>0</v>
      </c>
    </row>
    <row r="1522" spans="1:7" x14ac:dyDescent="0.25">
      <c r="A1522" s="3353" t="s">
        <v>865</v>
      </c>
      <c r="B1522" s="3354"/>
      <c r="C1522" s="3354"/>
      <c r="D1522" s="3354"/>
      <c r="E1522" s="3354"/>
      <c r="F1522" s="3354"/>
      <c r="G1522" s="3354"/>
    </row>
    <row r="1523" spans="1:7" x14ac:dyDescent="0.25">
      <c r="A1523" s="11" t="s">
        <v>986</v>
      </c>
      <c r="B1523" s="11" t="s">
        <v>1054</v>
      </c>
      <c r="C1523" s="1100">
        <v>364</v>
      </c>
      <c r="D1523" s="1100">
        <v>297310.56562743802</v>
      </c>
      <c r="E1523" s="1101">
        <v>49987.620488794499</v>
      </c>
      <c r="F1523" s="1102">
        <v>100</v>
      </c>
      <c r="G1523" s="1103">
        <v>0</v>
      </c>
    </row>
    <row r="1524" spans="1:7" x14ac:dyDescent="0.25">
      <c r="A1524" s="6" t="s">
        <v>982</v>
      </c>
      <c r="B1524" s="6" t="s">
        <v>983</v>
      </c>
      <c r="C1524" s="1096">
        <v>5708</v>
      </c>
      <c r="D1524" s="1096">
        <v>6521680.6282864697</v>
      </c>
      <c r="E1524" s="1097">
        <v>49260.903096162903</v>
      </c>
      <c r="F1524" s="1098">
        <v>99.861060369406204</v>
      </c>
      <c r="G1524" s="1099">
        <v>7.9647861366153594E-2</v>
      </c>
    </row>
    <row r="1525" spans="1:7" x14ac:dyDescent="0.25">
      <c r="A1525" s="11" t="s">
        <v>996</v>
      </c>
      <c r="B1525" s="11" t="s">
        <v>997</v>
      </c>
      <c r="C1525" s="1100">
        <v>9</v>
      </c>
      <c r="D1525" s="1100">
        <v>9073.8060861081194</v>
      </c>
      <c r="E1525" s="1101">
        <v>5217.6389174207297</v>
      </c>
      <c r="F1525" s="1102">
        <v>0.13893963059384101</v>
      </c>
      <c r="G1525" s="1103">
        <v>7.96478613661568E-2</v>
      </c>
    </row>
    <row r="1526" spans="1:7" x14ac:dyDescent="0.25">
      <c r="A1526" s="6" t="s">
        <v>6293</v>
      </c>
      <c r="B1526" s="6" t="s">
        <v>6294</v>
      </c>
      <c r="C1526" s="1096">
        <v>364</v>
      </c>
      <c r="D1526" s="1096">
        <v>297310.56562743802</v>
      </c>
      <c r="E1526" s="1097">
        <v>49987.620488794499</v>
      </c>
      <c r="F1526" s="1098">
        <v>4.3542433416705597</v>
      </c>
      <c r="G1526" s="1099">
        <v>0.73209057747392503</v>
      </c>
    </row>
    <row r="1527" spans="1:7" x14ac:dyDescent="0.25">
      <c r="A1527" s="11" t="s">
        <v>6293</v>
      </c>
      <c r="B1527" s="11" t="s">
        <v>6295</v>
      </c>
      <c r="C1527" s="1100">
        <v>6081</v>
      </c>
      <c r="D1527" s="1100">
        <v>6828065.0000000102</v>
      </c>
      <c r="E1527" s="1101">
        <v>0</v>
      </c>
      <c r="F1527" s="1102">
        <v>100</v>
      </c>
      <c r="G1527" s="1103">
        <v>0</v>
      </c>
    </row>
    <row r="1528" spans="1:7" x14ac:dyDescent="0.25">
      <c r="A1528" s="3353" t="s">
        <v>867</v>
      </c>
      <c r="B1528" s="3354"/>
      <c r="C1528" s="3354"/>
      <c r="D1528" s="3354"/>
      <c r="E1528" s="3354"/>
      <c r="F1528" s="3354"/>
      <c r="G1528" s="3354"/>
    </row>
    <row r="1529" spans="1:7" x14ac:dyDescent="0.25">
      <c r="A1529" s="11" t="s">
        <v>988</v>
      </c>
      <c r="B1529" s="11" t="s">
        <v>1055</v>
      </c>
      <c r="C1529" s="1108">
        <v>595</v>
      </c>
      <c r="D1529" s="1108">
        <v>372154.164426859</v>
      </c>
      <c r="E1529" s="1109">
        <v>35726.145416494597</v>
      </c>
      <c r="F1529" s="1110">
        <v>100</v>
      </c>
      <c r="G1529" s="1111">
        <v>0</v>
      </c>
    </row>
    <row r="1530" spans="1:7" x14ac:dyDescent="0.25">
      <c r="A1530" s="6" t="s">
        <v>982</v>
      </c>
      <c r="B1530" s="6" t="s">
        <v>983</v>
      </c>
      <c r="C1530" s="1104">
        <v>5477</v>
      </c>
      <c r="D1530" s="1104">
        <v>6446837.0294870501</v>
      </c>
      <c r="E1530" s="1105">
        <v>34910.760400461499</v>
      </c>
      <c r="F1530" s="1106">
        <v>99.859449637437507</v>
      </c>
      <c r="G1530" s="1107">
        <v>8.0645873990519201E-2</v>
      </c>
    </row>
    <row r="1531" spans="1:7" x14ac:dyDescent="0.25">
      <c r="A1531" s="11" t="s">
        <v>996</v>
      </c>
      <c r="B1531" s="11" t="s">
        <v>997</v>
      </c>
      <c r="C1531" s="1108">
        <v>9</v>
      </c>
      <c r="D1531" s="1108">
        <v>9073.8060861081194</v>
      </c>
      <c r="E1531" s="1109">
        <v>5217.6389174207297</v>
      </c>
      <c r="F1531" s="1110">
        <v>0.140550362562474</v>
      </c>
      <c r="G1531" s="1111">
        <v>8.0645873990529499E-2</v>
      </c>
    </row>
    <row r="1532" spans="1:7" x14ac:dyDescent="0.25">
      <c r="A1532" s="6" t="s">
        <v>6293</v>
      </c>
      <c r="B1532" s="6" t="s">
        <v>6294</v>
      </c>
      <c r="C1532" s="1104">
        <v>595</v>
      </c>
      <c r="D1532" s="1104">
        <v>372154.164426859</v>
      </c>
      <c r="E1532" s="1105">
        <v>35726.145416494597</v>
      </c>
      <c r="F1532" s="1106">
        <v>5.4503605988938002</v>
      </c>
      <c r="G1532" s="1107">
        <v>0.52322503398099296</v>
      </c>
    </row>
    <row r="1533" spans="1:7" x14ac:dyDescent="0.25">
      <c r="A1533" s="11" t="s">
        <v>6293</v>
      </c>
      <c r="B1533" s="11" t="s">
        <v>6295</v>
      </c>
      <c r="C1533" s="1108">
        <v>6081</v>
      </c>
      <c r="D1533" s="1108">
        <v>6828065.0000000196</v>
      </c>
      <c r="E1533" s="1109">
        <v>0</v>
      </c>
      <c r="F1533" s="1110">
        <v>100</v>
      </c>
      <c r="G1533" s="1111">
        <v>0</v>
      </c>
    </row>
    <row r="1534" spans="1:7" x14ac:dyDescent="0.25">
      <c r="A1534" s="3353" t="s">
        <v>869</v>
      </c>
      <c r="B1534" s="3354"/>
      <c r="C1534" s="3354"/>
      <c r="D1534" s="3354"/>
      <c r="E1534" s="3354"/>
      <c r="F1534" s="3354"/>
      <c r="G1534" s="3354"/>
    </row>
    <row r="1535" spans="1:7" x14ac:dyDescent="0.25">
      <c r="A1535" s="11" t="s">
        <v>990</v>
      </c>
      <c r="B1535" s="11" t="s">
        <v>6145</v>
      </c>
      <c r="C1535" s="1116">
        <v>279</v>
      </c>
      <c r="D1535" s="1116">
        <v>359419.88307236799</v>
      </c>
      <c r="E1535" s="1117">
        <v>43704.717648194302</v>
      </c>
      <c r="F1535" s="1118">
        <v>100</v>
      </c>
      <c r="G1535" s="1119">
        <v>0</v>
      </c>
    </row>
    <row r="1536" spans="1:7" x14ac:dyDescent="0.25">
      <c r="A1536" s="6" t="s">
        <v>982</v>
      </c>
      <c r="B1536" s="6" t="s">
        <v>983</v>
      </c>
      <c r="C1536" s="1112">
        <v>5793</v>
      </c>
      <c r="D1536" s="1112">
        <v>6459571.3108415399</v>
      </c>
      <c r="E1536" s="1113">
        <v>45213.292371711803</v>
      </c>
      <c r="F1536" s="1114">
        <v>99.859726327196995</v>
      </c>
      <c r="G1536" s="1115">
        <v>8.0818772424024493E-2</v>
      </c>
    </row>
    <row r="1537" spans="1:7" x14ac:dyDescent="0.25">
      <c r="A1537" s="11" t="s">
        <v>996</v>
      </c>
      <c r="B1537" s="11" t="s">
        <v>997</v>
      </c>
      <c r="C1537" s="1116">
        <v>9</v>
      </c>
      <c r="D1537" s="1116">
        <v>9073.8060861081194</v>
      </c>
      <c r="E1537" s="1117">
        <v>5217.6389174207297</v>
      </c>
      <c r="F1537" s="1118">
        <v>0.14027367280302799</v>
      </c>
      <c r="G1537" s="1119">
        <v>8.0818772424033097E-2</v>
      </c>
    </row>
    <row r="1538" spans="1:7" x14ac:dyDescent="0.25">
      <c r="A1538" s="6" t="s">
        <v>6293</v>
      </c>
      <c r="B1538" s="6" t="s">
        <v>6294</v>
      </c>
      <c r="C1538" s="1112">
        <v>279</v>
      </c>
      <c r="D1538" s="1112">
        <v>359419.88307236799</v>
      </c>
      <c r="E1538" s="1113">
        <v>43704.717648194302</v>
      </c>
      <c r="F1538" s="1114">
        <v>5.2638614757236102</v>
      </c>
      <c r="G1538" s="1115">
        <v>0.64007471587036602</v>
      </c>
    </row>
    <row r="1539" spans="1:7" x14ac:dyDescent="0.25">
      <c r="A1539" s="11" t="s">
        <v>6293</v>
      </c>
      <c r="B1539" s="11" t="s">
        <v>6295</v>
      </c>
      <c r="C1539" s="1116">
        <v>6081</v>
      </c>
      <c r="D1539" s="1116">
        <v>6828065.0000000102</v>
      </c>
      <c r="E1539" s="1117">
        <v>0</v>
      </c>
      <c r="F1539" s="1118">
        <v>100</v>
      </c>
      <c r="G1539" s="1119">
        <v>0</v>
      </c>
    </row>
    <row r="1540" spans="1:7" x14ac:dyDescent="0.25">
      <c r="A1540" s="3353" t="s">
        <v>871</v>
      </c>
      <c r="B1540" s="3354"/>
      <c r="C1540" s="3354"/>
      <c r="D1540" s="3354"/>
      <c r="E1540" s="3354"/>
      <c r="F1540" s="3354"/>
      <c r="G1540" s="3354"/>
    </row>
    <row r="1541" spans="1:7" x14ac:dyDescent="0.25">
      <c r="A1541" s="11" t="s">
        <v>992</v>
      </c>
      <c r="B1541" s="11" t="s">
        <v>1057</v>
      </c>
      <c r="C1541" s="1124">
        <v>315</v>
      </c>
      <c r="D1541" s="1124">
        <v>485133.17956882901</v>
      </c>
      <c r="E1541" s="1125">
        <v>57859.988429930097</v>
      </c>
      <c r="F1541" s="1126">
        <v>100</v>
      </c>
      <c r="G1541" s="1127">
        <v>0</v>
      </c>
    </row>
    <row r="1542" spans="1:7" x14ac:dyDescent="0.25">
      <c r="A1542" s="6" t="s">
        <v>982</v>
      </c>
      <c r="B1542" s="6" t="s">
        <v>983</v>
      </c>
      <c r="C1542" s="1120">
        <v>5757</v>
      </c>
      <c r="D1542" s="1120">
        <v>6333858.0143450703</v>
      </c>
      <c r="E1542" s="1121">
        <v>55750.864574799401</v>
      </c>
      <c r="F1542" s="1122">
        <v>99.856946182885295</v>
      </c>
      <c r="G1542" s="1123">
        <v>8.1707931872161604E-2</v>
      </c>
    </row>
    <row r="1543" spans="1:7" x14ac:dyDescent="0.25">
      <c r="A1543" s="11" t="s">
        <v>996</v>
      </c>
      <c r="B1543" s="11" t="s">
        <v>997</v>
      </c>
      <c r="C1543" s="1124">
        <v>9</v>
      </c>
      <c r="D1543" s="1124">
        <v>9073.8060861081194</v>
      </c>
      <c r="E1543" s="1125">
        <v>5217.6389174207297</v>
      </c>
      <c r="F1543" s="1126">
        <v>0.14305381711467499</v>
      </c>
      <c r="G1543" s="1127">
        <v>8.1707931872163797E-2</v>
      </c>
    </row>
    <row r="1544" spans="1:7" x14ac:dyDescent="0.25">
      <c r="A1544" s="6" t="s">
        <v>6293</v>
      </c>
      <c r="B1544" s="6" t="s">
        <v>6294</v>
      </c>
      <c r="C1544" s="1120">
        <v>315</v>
      </c>
      <c r="D1544" s="1120">
        <v>485133.17956882901</v>
      </c>
      <c r="E1544" s="1121">
        <v>57859.988429930097</v>
      </c>
      <c r="F1544" s="1122">
        <v>7.10498771714723</v>
      </c>
      <c r="G1544" s="1123">
        <v>0.84738485105121597</v>
      </c>
    </row>
    <row r="1545" spans="1:7" x14ac:dyDescent="0.25">
      <c r="A1545" s="11" t="s">
        <v>6293</v>
      </c>
      <c r="B1545" s="11" t="s">
        <v>6295</v>
      </c>
      <c r="C1545" s="1124">
        <v>6081</v>
      </c>
      <c r="D1545" s="1124">
        <v>6828065.0000000102</v>
      </c>
      <c r="E1545" s="1125">
        <v>0</v>
      </c>
      <c r="F1545" s="1126">
        <v>100</v>
      </c>
      <c r="G1545" s="1127">
        <v>0</v>
      </c>
    </row>
    <row r="1546" spans="1:7" x14ac:dyDescent="0.25">
      <c r="A1546" s="3353" t="s">
        <v>873</v>
      </c>
      <c r="B1546" s="3354"/>
      <c r="C1546" s="3354"/>
      <c r="D1546" s="3354"/>
      <c r="E1546" s="3354"/>
      <c r="F1546" s="3354"/>
      <c r="G1546" s="3354"/>
    </row>
    <row r="1547" spans="1:7" x14ac:dyDescent="0.25">
      <c r="A1547" s="11" t="s">
        <v>994</v>
      </c>
      <c r="B1547" s="11" t="s">
        <v>1058</v>
      </c>
      <c r="C1547" s="1132">
        <v>697</v>
      </c>
      <c r="D1547" s="1132">
        <v>765825.896803768</v>
      </c>
      <c r="E1547" s="1133">
        <v>67664.855686149895</v>
      </c>
      <c r="F1547" s="1134">
        <v>100</v>
      </c>
      <c r="G1547" s="1135">
        <v>0</v>
      </c>
    </row>
    <row r="1548" spans="1:7" x14ac:dyDescent="0.25">
      <c r="A1548" s="6" t="s">
        <v>982</v>
      </c>
      <c r="B1548" s="6" t="s">
        <v>983</v>
      </c>
      <c r="C1548" s="1128">
        <v>5375</v>
      </c>
      <c r="D1548" s="1128">
        <v>6053165.2971101496</v>
      </c>
      <c r="E1548" s="1129">
        <v>69674.170068047504</v>
      </c>
      <c r="F1548" s="1130">
        <v>99.850322530476802</v>
      </c>
      <c r="G1548" s="1131">
        <v>8.6475861530713502E-2</v>
      </c>
    </row>
    <row r="1549" spans="1:7" x14ac:dyDescent="0.25">
      <c r="A1549" s="11" t="s">
        <v>996</v>
      </c>
      <c r="B1549" s="11" t="s">
        <v>997</v>
      </c>
      <c r="C1549" s="1132">
        <v>9</v>
      </c>
      <c r="D1549" s="1132">
        <v>9073.8060861081194</v>
      </c>
      <c r="E1549" s="1133">
        <v>5217.6389174207297</v>
      </c>
      <c r="F1549" s="1134">
        <v>0.14967746952316699</v>
      </c>
      <c r="G1549" s="1135">
        <v>8.6475861530716694E-2</v>
      </c>
    </row>
    <row r="1550" spans="1:7" x14ac:dyDescent="0.25">
      <c r="A1550" s="6" t="s">
        <v>6293</v>
      </c>
      <c r="B1550" s="6" t="s">
        <v>6294</v>
      </c>
      <c r="C1550" s="1128">
        <v>697</v>
      </c>
      <c r="D1550" s="1128">
        <v>765825.896803768</v>
      </c>
      <c r="E1550" s="1129">
        <v>67664.855686149895</v>
      </c>
      <c r="F1550" s="1130">
        <v>11.215855396862301</v>
      </c>
      <c r="G1550" s="1131">
        <v>0.99098142279177903</v>
      </c>
    </row>
    <row r="1551" spans="1:7" x14ac:dyDescent="0.25">
      <c r="A1551" s="11" t="s">
        <v>6293</v>
      </c>
      <c r="B1551" s="11" t="s">
        <v>6295</v>
      </c>
      <c r="C1551" s="1132">
        <v>6081</v>
      </c>
      <c r="D1551" s="1132">
        <v>6828065.0000000196</v>
      </c>
      <c r="E1551" s="1133">
        <v>0</v>
      </c>
      <c r="F1551" s="1134">
        <v>100</v>
      </c>
      <c r="G1551" s="1135">
        <v>0</v>
      </c>
    </row>
    <row r="1552" spans="1:7" x14ac:dyDescent="0.25">
      <c r="A1552" s="3353" t="s">
        <v>877</v>
      </c>
      <c r="B1552" s="3354"/>
      <c r="C1552" s="3354"/>
      <c r="D1552" s="3354"/>
      <c r="E1552" s="3354"/>
      <c r="F1552" s="3354"/>
      <c r="G1552" s="3354"/>
    </row>
    <row r="1553" spans="1:7" x14ac:dyDescent="0.25">
      <c r="A1553" s="11" t="s">
        <v>1003</v>
      </c>
      <c r="B1553" s="11" t="s">
        <v>1059</v>
      </c>
      <c r="C1553" s="1140">
        <v>2009</v>
      </c>
      <c r="D1553" s="1140">
        <v>1816209.3062112799</v>
      </c>
      <c r="E1553" s="1141">
        <v>73414.950903806195</v>
      </c>
      <c r="F1553" s="1142">
        <v>100</v>
      </c>
      <c r="G1553" s="1143">
        <v>0</v>
      </c>
    </row>
    <row r="1554" spans="1:7" x14ac:dyDescent="0.25">
      <c r="A1554" s="6" t="s">
        <v>982</v>
      </c>
      <c r="B1554" s="6" t="s">
        <v>983</v>
      </c>
      <c r="C1554" s="1136">
        <v>4063</v>
      </c>
      <c r="D1554" s="1136">
        <v>5002781.8877026103</v>
      </c>
      <c r="E1554" s="1137">
        <v>74695.552615735694</v>
      </c>
      <c r="F1554" s="1138">
        <v>99.818953165444199</v>
      </c>
      <c r="G1554" s="1139">
        <v>0.10454489455772099</v>
      </c>
    </row>
    <row r="1555" spans="1:7" x14ac:dyDescent="0.25">
      <c r="A1555" s="11" t="s">
        <v>996</v>
      </c>
      <c r="B1555" s="11" t="s">
        <v>997</v>
      </c>
      <c r="C1555" s="1140">
        <v>9</v>
      </c>
      <c r="D1555" s="1140">
        <v>9073.8060861081194</v>
      </c>
      <c r="E1555" s="1141">
        <v>5217.6389174207297</v>
      </c>
      <c r="F1555" s="1142">
        <v>0.18104683455578</v>
      </c>
      <c r="G1555" s="1143">
        <v>0.10454489455773</v>
      </c>
    </row>
    <row r="1556" spans="1:7" x14ac:dyDescent="0.25">
      <c r="A1556" s="6" t="s">
        <v>6293</v>
      </c>
      <c r="B1556" s="6" t="s">
        <v>6294</v>
      </c>
      <c r="C1556" s="1136">
        <v>2009</v>
      </c>
      <c r="D1556" s="1136">
        <v>1816209.3062112799</v>
      </c>
      <c r="E1556" s="1137">
        <v>73414.950903806195</v>
      </c>
      <c r="F1556" s="1138">
        <v>26.5991800929148</v>
      </c>
      <c r="G1556" s="1139">
        <v>1.0751940835918199</v>
      </c>
    </row>
    <row r="1557" spans="1:7" x14ac:dyDescent="0.25">
      <c r="A1557" s="11" t="s">
        <v>6293</v>
      </c>
      <c r="B1557" s="11" t="s">
        <v>6295</v>
      </c>
      <c r="C1557" s="1140">
        <v>6081</v>
      </c>
      <c r="D1557" s="1140">
        <v>6828065</v>
      </c>
      <c r="E1557" s="1141">
        <v>0</v>
      </c>
      <c r="F1557" s="1142">
        <v>100</v>
      </c>
      <c r="G1557" s="1143">
        <v>0</v>
      </c>
    </row>
    <row r="1558" spans="1:7" x14ac:dyDescent="0.25">
      <c r="A1558" s="3353" t="s">
        <v>863</v>
      </c>
      <c r="B1558" s="3354"/>
      <c r="C1558" s="3354"/>
      <c r="D1558" s="3354"/>
      <c r="E1558" s="3354"/>
      <c r="F1558" s="3354"/>
      <c r="G1558" s="3354"/>
    </row>
    <row r="1559" spans="1:7" x14ac:dyDescent="0.25">
      <c r="A1559" s="11" t="s">
        <v>982</v>
      </c>
      <c r="B1559" s="11" t="s">
        <v>983</v>
      </c>
      <c r="C1559" s="1148">
        <v>6067</v>
      </c>
      <c r="D1559" s="1148">
        <v>6817278.57889752</v>
      </c>
      <c r="E1559" s="1149">
        <v>6462.3072849052596</v>
      </c>
      <c r="F1559" s="1150">
        <v>99.842028142636295</v>
      </c>
      <c r="G1559" s="1151">
        <v>9.4643318200897095E-2</v>
      </c>
    </row>
    <row r="1560" spans="1:7" x14ac:dyDescent="0.25">
      <c r="A1560" s="6" t="s">
        <v>996</v>
      </c>
      <c r="B1560" s="6" t="s">
        <v>997</v>
      </c>
      <c r="C1560" s="1144">
        <v>9</v>
      </c>
      <c r="D1560" s="1144">
        <v>9073.8060861081194</v>
      </c>
      <c r="E1560" s="1145">
        <v>5217.6389174207297</v>
      </c>
      <c r="F1560" s="1146">
        <v>0.13288986097976699</v>
      </c>
      <c r="G1560" s="1147">
        <v>7.6414605271342806E-2</v>
      </c>
    </row>
    <row r="1561" spans="1:7" x14ac:dyDescent="0.25">
      <c r="A1561" s="11" t="s">
        <v>978</v>
      </c>
      <c r="B1561" s="11" t="s">
        <v>1047</v>
      </c>
      <c r="C1561" s="1148">
        <v>5</v>
      </c>
      <c r="D1561" s="1148">
        <v>1712.6150163897801</v>
      </c>
      <c r="E1561" s="1149">
        <v>1619.09160447869</v>
      </c>
      <c r="F1561" s="1150">
        <v>2.5081996383891698E-2</v>
      </c>
      <c r="G1561" s="1151">
        <v>2.37123050890507E-2</v>
      </c>
    </row>
    <row r="1562" spans="1:7" x14ac:dyDescent="0.25">
      <c r="A1562" s="6" t="s">
        <v>6293</v>
      </c>
      <c r="B1562" s="6" t="s">
        <v>6294</v>
      </c>
      <c r="C1562" s="1144">
        <v>0</v>
      </c>
      <c r="D1562" s="1144">
        <v>0</v>
      </c>
      <c r="E1562" s="1145">
        <v>0</v>
      </c>
      <c r="F1562" s="1146">
        <v>0</v>
      </c>
      <c r="G1562" s="1147">
        <v>0</v>
      </c>
    </row>
    <row r="1563" spans="1:7" x14ac:dyDescent="0.25">
      <c r="A1563" s="11" t="s">
        <v>6293</v>
      </c>
      <c r="B1563" s="11" t="s">
        <v>6295</v>
      </c>
      <c r="C1563" s="1148">
        <v>6081</v>
      </c>
      <c r="D1563" s="1148">
        <v>6828065.0000000196</v>
      </c>
      <c r="E1563" s="1149">
        <v>0</v>
      </c>
      <c r="F1563" s="1150">
        <v>100</v>
      </c>
      <c r="G1563" s="1151">
        <v>0</v>
      </c>
    </row>
    <row r="1564" spans="1:7" x14ac:dyDescent="0.25">
      <c r="A1564" s="3353" t="s">
        <v>875</v>
      </c>
      <c r="B1564" s="3354"/>
      <c r="C1564" s="3354"/>
      <c r="D1564" s="3354"/>
      <c r="E1564" s="3354"/>
      <c r="F1564" s="3354"/>
      <c r="G1564" s="3354"/>
    </row>
    <row r="1565" spans="1:7" x14ac:dyDescent="0.25">
      <c r="A1565" s="11" t="s">
        <v>982</v>
      </c>
      <c r="B1565" s="11" t="s">
        <v>983</v>
      </c>
      <c r="C1565" s="1156">
        <v>6071</v>
      </c>
      <c r="D1565" s="1156">
        <v>6818938.2687835097</v>
      </c>
      <c r="E1565" s="1157">
        <v>5223.0941591848296</v>
      </c>
      <c r="F1565" s="1158">
        <v>99.866335027324695</v>
      </c>
      <c r="G1565" s="1159">
        <v>7.6494499674437499E-2</v>
      </c>
    </row>
    <row r="1566" spans="1:7" x14ac:dyDescent="0.25">
      <c r="A1566" s="6" t="s">
        <v>996</v>
      </c>
      <c r="B1566" s="6" t="s">
        <v>997</v>
      </c>
      <c r="C1566" s="1152">
        <v>9</v>
      </c>
      <c r="D1566" s="1152">
        <v>9073.8060861081194</v>
      </c>
      <c r="E1566" s="1153">
        <v>5217.6389174207297</v>
      </c>
      <c r="F1566" s="1154">
        <v>0.13288986097976699</v>
      </c>
      <c r="G1566" s="1155">
        <v>7.6414605271342806E-2</v>
      </c>
    </row>
    <row r="1567" spans="1:7" x14ac:dyDescent="0.25">
      <c r="A1567" s="11" t="s">
        <v>980</v>
      </c>
      <c r="B1567" s="11" t="s">
        <v>981</v>
      </c>
      <c r="C1567" s="1156">
        <v>1</v>
      </c>
      <c r="D1567" s="1156">
        <v>52.925130394045603</v>
      </c>
      <c r="E1567" s="1157">
        <v>63.414736542422702</v>
      </c>
      <c r="F1567" s="1158">
        <v>7.7511169553959205E-4</v>
      </c>
      <c r="G1567" s="1159">
        <v>9.28736568008985E-4</v>
      </c>
    </row>
    <row r="1568" spans="1:7" x14ac:dyDescent="0.25">
      <c r="A1568" s="6" t="s">
        <v>6293</v>
      </c>
      <c r="B1568" s="6" t="s">
        <v>6294</v>
      </c>
      <c r="C1568" s="1152">
        <v>0</v>
      </c>
      <c r="D1568" s="1152">
        <v>0</v>
      </c>
      <c r="E1568" s="1153">
        <v>0</v>
      </c>
      <c r="F1568" s="1154">
        <v>0</v>
      </c>
      <c r="G1568" s="1155">
        <v>0</v>
      </c>
    </row>
    <row r="1569" spans="1:7" x14ac:dyDescent="0.25">
      <c r="A1569" s="11" t="s">
        <v>6293</v>
      </c>
      <c r="B1569" s="11" t="s">
        <v>6295</v>
      </c>
      <c r="C1569" s="1156">
        <v>6081</v>
      </c>
      <c r="D1569" s="1156">
        <v>6828065.0000000196</v>
      </c>
      <c r="E1569" s="1157">
        <v>0</v>
      </c>
      <c r="F1569" s="1158">
        <v>100</v>
      </c>
      <c r="G1569" s="1159">
        <v>0</v>
      </c>
    </row>
    <row r="1570" spans="1:7" x14ac:dyDescent="0.25">
      <c r="A1570" s="3353" t="s">
        <v>517</v>
      </c>
      <c r="B1570" s="3354"/>
      <c r="C1570" s="3354"/>
      <c r="D1570" s="3354"/>
      <c r="E1570" s="3354"/>
      <c r="F1570" s="3354"/>
      <c r="G1570" s="3354"/>
    </row>
    <row r="1571" spans="1:7" x14ac:dyDescent="0.25">
      <c r="A1571" s="11" t="s">
        <v>1174</v>
      </c>
      <c r="B1571" s="11"/>
      <c r="C1571" s="1164">
        <v>5472</v>
      </c>
      <c r="D1571" s="1164">
        <v>5682439.5537922904</v>
      </c>
      <c r="E1571" s="1165">
        <v>59530.013494454302</v>
      </c>
      <c r="F1571" s="1166">
        <v>89.031532996157793</v>
      </c>
      <c r="G1571" s="1167">
        <v>0.92370905463574104</v>
      </c>
    </row>
    <row r="1572" spans="1:7" x14ac:dyDescent="0.25">
      <c r="A1572" s="6" t="s">
        <v>6296</v>
      </c>
      <c r="B1572" s="6"/>
      <c r="C1572" s="1160">
        <v>97</v>
      </c>
      <c r="D1572" s="1160">
        <v>142040.28797133101</v>
      </c>
      <c r="E1572" s="1161">
        <v>27695.328966927798</v>
      </c>
      <c r="F1572" s="1162">
        <v>2.22546398700602</v>
      </c>
      <c r="G1572" s="1163">
        <v>0.43344311280132303</v>
      </c>
    </row>
    <row r="1573" spans="1:7" x14ac:dyDescent="0.25">
      <c r="A1573" s="11" t="s">
        <v>6298</v>
      </c>
      <c r="B1573" s="11"/>
      <c r="C1573" s="1164">
        <v>72</v>
      </c>
      <c r="D1573" s="1164">
        <v>113824.480002588</v>
      </c>
      <c r="E1573" s="1165">
        <v>33122.991937266699</v>
      </c>
      <c r="F1573" s="1166">
        <v>1.78338332527582</v>
      </c>
      <c r="G1573" s="1167">
        <v>0.51816494592069795</v>
      </c>
    </row>
    <row r="1574" spans="1:7" x14ac:dyDescent="0.25">
      <c r="A1574" s="6" t="s">
        <v>1177</v>
      </c>
      <c r="B1574" s="6"/>
      <c r="C1574" s="1160">
        <v>34</v>
      </c>
      <c r="D1574" s="1160">
        <v>73664.397756579696</v>
      </c>
      <c r="E1574" s="1161">
        <v>19494.967621534899</v>
      </c>
      <c r="F1574" s="1162">
        <v>1.1541617288529</v>
      </c>
      <c r="G1574" s="1163">
        <v>0.30597539859433398</v>
      </c>
    </row>
    <row r="1575" spans="1:7" x14ac:dyDescent="0.25">
      <c r="A1575" s="11" t="s">
        <v>6299</v>
      </c>
      <c r="B1575" s="11"/>
      <c r="C1575" s="1164">
        <v>29</v>
      </c>
      <c r="D1575" s="1164">
        <v>61384.341892934899</v>
      </c>
      <c r="E1575" s="1165">
        <v>15273.3362057629</v>
      </c>
      <c r="F1575" s="1166">
        <v>0.96175982321553899</v>
      </c>
      <c r="G1575" s="1167">
        <v>0.239346711892164</v>
      </c>
    </row>
    <row r="1576" spans="1:7" x14ac:dyDescent="0.25">
      <c r="A1576" s="6" t="s">
        <v>1179</v>
      </c>
      <c r="B1576" s="6"/>
      <c r="C1576" s="1160">
        <v>11</v>
      </c>
      <c r="D1576" s="1160">
        <v>36554.9146988543</v>
      </c>
      <c r="E1576" s="1161">
        <v>17109.8527642111</v>
      </c>
      <c r="F1576" s="1162">
        <v>0.57273642128068003</v>
      </c>
      <c r="G1576" s="1163">
        <v>0.26848811306011999</v>
      </c>
    </row>
    <row r="1577" spans="1:7" x14ac:dyDescent="0.25">
      <c r="A1577" s="11" t="s">
        <v>1027</v>
      </c>
      <c r="B1577" s="11"/>
      <c r="C1577" s="1164">
        <v>18</v>
      </c>
      <c r="D1577" s="1164">
        <v>34930.902493347399</v>
      </c>
      <c r="E1577" s="1165">
        <v>14905.892121250699</v>
      </c>
      <c r="F1577" s="1166">
        <v>0.54729166381480299</v>
      </c>
      <c r="G1577" s="1167">
        <v>0.233719862962702</v>
      </c>
    </row>
    <row r="1578" spans="1:7" x14ac:dyDescent="0.25">
      <c r="A1578" s="6" t="s">
        <v>6297</v>
      </c>
      <c r="B1578" s="6"/>
      <c r="C1578" s="1160">
        <v>20</v>
      </c>
      <c r="D1578" s="1160">
        <v>33564.128689841098</v>
      </c>
      <c r="E1578" s="1161">
        <v>17622.907423901401</v>
      </c>
      <c r="F1578" s="1162">
        <v>0.52587727553434205</v>
      </c>
      <c r="G1578" s="1163">
        <v>0.27656683387299702</v>
      </c>
    </row>
    <row r="1579" spans="1:7" x14ac:dyDescent="0.25">
      <c r="A1579" s="11" t="s">
        <v>1017</v>
      </c>
      <c r="B1579" s="11"/>
      <c r="C1579" s="1164">
        <v>9</v>
      </c>
      <c r="D1579" s="1164">
        <v>27241.4715231187</v>
      </c>
      <c r="E1579" s="1165">
        <v>13222.3416697418</v>
      </c>
      <c r="F1579" s="1166">
        <v>0.42681491775056901</v>
      </c>
      <c r="G1579" s="1167">
        <v>0.207227567192625</v>
      </c>
    </row>
    <row r="1580" spans="1:7" x14ac:dyDescent="0.25">
      <c r="A1580" s="6" t="s">
        <v>3054</v>
      </c>
      <c r="B1580" s="6"/>
      <c r="C1580" s="1160">
        <v>6</v>
      </c>
      <c r="D1580" s="1160">
        <v>26975.388454084801</v>
      </c>
      <c r="E1580" s="1161">
        <v>15357.687109070601</v>
      </c>
      <c r="F1580" s="1162">
        <v>0.42264597176950602</v>
      </c>
      <c r="G1580" s="1163">
        <v>0.240524828137929</v>
      </c>
    </row>
    <row r="1581" spans="1:7" x14ac:dyDescent="0.25">
      <c r="A1581" s="11" t="s">
        <v>6300</v>
      </c>
      <c r="B1581" s="11"/>
      <c r="C1581" s="1164">
        <v>31</v>
      </c>
      <c r="D1581" s="1164">
        <v>23090.476269757099</v>
      </c>
      <c r="E1581" s="1165">
        <v>8420.1330966670394</v>
      </c>
      <c r="F1581" s="1166">
        <v>0.36177780343231503</v>
      </c>
      <c r="G1581" s="1167">
        <v>0.13170708421619101</v>
      </c>
    </row>
    <row r="1582" spans="1:7" x14ac:dyDescent="0.25">
      <c r="A1582" s="6" t="s">
        <v>1029</v>
      </c>
      <c r="B1582" s="6"/>
      <c r="C1582" s="1160">
        <v>13</v>
      </c>
      <c r="D1582" s="1160">
        <v>21798.324327282098</v>
      </c>
      <c r="E1582" s="1161">
        <v>12899.6107546194</v>
      </c>
      <c r="F1582" s="1162">
        <v>0.341532578258606</v>
      </c>
      <c r="G1582" s="1163">
        <v>0.20193893058144199</v>
      </c>
    </row>
    <row r="1583" spans="1:7" x14ac:dyDescent="0.25">
      <c r="A1583" s="11" t="s">
        <v>6303</v>
      </c>
      <c r="B1583" s="11"/>
      <c r="C1583" s="1164">
        <v>8</v>
      </c>
      <c r="D1583" s="1164">
        <v>20876.457315926698</v>
      </c>
      <c r="E1583" s="1165">
        <v>12621.2465091785</v>
      </c>
      <c r="F1583" s="1166">
        <v>0.32708891678845797</v>
      </c>
      <c r="G1583" s="1167">
        <v>0.197636489807655</v>
      </c>
    </row>
    <row r="1584" spans="1:7" x14ac:dyDescent="0.25">
      <c r="A1584" s="6" t="s">
        <v>3060</v>
      </c>
      <c r="B1584" s="6"/>
      <c r="C1584" s="1160">
        <v>3</v>
      </c>
      <c r="D1584" s="1160">
        <v>18412.132374679899</v>
      </c>
      <c r="E1584" s="1161">
        <v>13329.4341746192</v>
      </c>
      <c r="F1584" s="1162">
        <v>0.28847827689639899</v>
      </c>
      <c r="G1584" s="1163">
        <v>0.20881318627343201</v>
      </c>
    </row>
    <row r="1585" spans="1:7" x14ac:dyDescent="0.25">
      <c r="A1585" s="11" t="s">
        <v>1021</v>
      </c>
      <c r="B1585" s="11"/>
      <c r="C1585" s="1164">
        <v>5</v>
      </c>
      <c r="D1585" s="1164">
        <v>10781.895696416101</v>
      </c>
      <c r="E1585" s="1165">
        <v>7692.5986748505002</v>
      </c>
      <c r="F1585" s="1166">
        <v>0.16892897731150999</v>
      </c>
      <c r="G1585" s="1167">
        <v>0.120507748316816</v>
      </c>
    </row>
    <row r="1586" spans="1:7" x14ac:dyDescent="0.25">
      <c r="A1586" s="6" t="s">
        <v>1031</v>
      </c>
      <c r="B1586" s="6"/>
      <c r="C1586" s="1160">
        <v>4</v>
      </c>
      <c r="D1586" s="1160">
        <v>10545.809421055899</v>
      </c>
      <c r="E1586" s="1161">
        <v>9991.9697136219002</v>
      </c>
      <c r="F1586" s="1162">
        <v>0.165230016184745</v>
      </c>
      <c r="G1586" s="1163">
        <v>0.156552471039453</v>
      </c>
    </row>
    <row r="1587" spans="1:7" x14ac:dyDescent="0.25">
      <c r="A1587" s="11" t="s">
        <v>1035</v>
      </c>
      <c r="B1587" s="11"/>
      <c r="C1587" s="1164">
        <v>1</v>
      </c>
      <c r="D1587" s="1164">
        <v>9565.6922518947104</v>
      </c>
      <c r="E1587" s="1165">
        <v>9456.82352949493</v>
      </c>
      <c r="F1587" s="1166">
        <v>0.14987370077474699</v>
      </c>
      <c r="G1587" s="1167">
        <v>0.148142285827358</v>
      </c>
    </row>
    <row r="1588" spans="1:7" x14ac:dyDescent="0.25">
      <c r="A1588" s="6" t="s">
        <v>1191</v>
      </c>
      <c r="B1588" s="6"/>
      <c r="C1588" s="1160">
        <v>1</v>
      </c>
      <c r="D1588" s="1160">
        <v>8373.2655195099196</v>
      </c>
      <c r="E1588" s="1161">
        <v>8136.4157876986201</v>
      </c>
      <c r="F1588" s="1162">
        <v>0.13119095387267701</v>
      </c>
      <c r="G1588" s="1163">
        <v>0.12748246847467701</v>
      </c>
    </row>
    <row r="1589" spans="1:7" x14ac:dyDescent="0.25">
      <c r="A1589" s="11" t="s">
        <v>1073</v>
      </c>
      <c r="B1589" s="11"/>
      <c r="C1589" s="1164">
        <v>1</v>
      </c>
      <c r="D1589" s="1164">
        <v>8157.99765164164</v>
      </c>
      <c r="E1589" s="1165">
        <v>8314.6088465757002</v>
      </c>
      <c r="F1589" s="1166">
        <v>0.127818172147557</v>
      </c>
      <c r="G1589" s="1167">
        <v>0.13024435076726401</v>
      </c>
    </row>
    <row r="1590" spans="1:7" x14ac:dyDescent="0.25">
      <c r="A1590" s="6" t="s">
        <v>6302</v>
      </c>
      <c r="B1590" s="6"/>
      <c r="C1590" s="1160">
        <v>7</v>
      </c>
      <c r="D1590" s="1160">
        <v>8154.0747903668498</v>
      </c>
      <c r="E1590" s="1161">
        <v>6199.05129660478</v>
      </c>
      <c r="F1590" s="1162">
        <v>0.12775670939908099</v>
      </c>
      <c r="G1590" s="1163">
        <v>9.7108910296456005E-2</v>
      </c>
    </row>
    <row r="1591" spans="1:7" x14ac:dyDescent="0.25">
      <c r="A1591" s="11" t="s">
        <v>6304</v>
      </c>
      <c r="B1591" s="11"/>
      <c r="C1591" s="1164">
        <v>3</v>
      </c>
      <c r="D1591" s="1164">
        <v>3275.71072509035</v>
      </c>
      <c r="E1591" s="1165">
        <v>2939.0924103244301</v>
      </c>
      <c r="F1591" s="1166">
        <v>5.1323299569832899E-2</v>
      </c>
      <c r="G1591" s="1167">
        <v>4.6059687554910099E-2</v>
      </c>
    </row>
    <row r="1592" spans="1:7" x14ac:dyDescent="0.25">
      <c r="A1592" s="6" t="s">
        <v>1071</v>
      </c>
      <c r="B1592" s="6"/>
      <c r="C1592" s="1160">
        <v>3</v>
      </c>
      <c r="D1592" s="1160">
        <v>3218.92453002189</v>
      </c>
      <c r="E1592" s="1161">
        <v>3201.7545765627501</v>
      </c>
      <c r="F1592" s="1162">
        <v>5.0433582758575402E-2</v>
      </c>
      <c r="G1592" s="1163">
        <v>5.0155082027638902E-2</v>
      </c>
    </row>
    <row r="1593" spans="1:7" x14ac:dyDescent="0.25">
      <c r="A1593" s="11" t="s">
        <v>6301</v>
      </c>
      <c r="B1593" s="11"/>
      <c r="C1593" s="1164">
        <v>13</v>
      </c>
      <c r="D1593" s="1164">
        <v>2116.9145981809002</v>
      </c>
      <c r="E1593" s="1165">
        <v>924.073355466301</v>
      </c>
      <c r="F1593" s="1166">
        <v>3.31674714906929E-2</v>
      </c>
      <c r="G1593" s="1167">
        <v>1.44606248899965E-2</v>
      </c>
    </row>
    <row r="1594" spans="1:7" x14ac:dyDescent="0.25">
      <c r="A1594" s="6" t="s">
        <v>1069</v>
      </c>
      <c r="B1594" s="6"/>
      <c r="C1594" s="1160">
        <v>1</v>
      </c>
      <c r="D1594" s="1160">
        <v>655.96306450781196</v>
      </c>
      <c r="E1594" s="1161">
        <v>676.78567749420404</v>
      </c>
      <c r="F1594" s="1162">
        <v>1.02775219461882E-2</v>
      </c>
      <c r="G1594" s="1163">
        <v>1.06055716687962E-2</v>
      </c>
    </row>
    <row r="1595" spans="1:7" x14ac:dyDescent="0.25">
      <c r="A1595" s="11" t="s">
        <v>1181</v>
      </c>
      <c r="B1595" s="11"/>
      <c r="C1595" s="1164">
        <v>1</v>
      </c>
      <c r="D1595" s="1164">
        <v>549.24720453471298</v>
      </c>
      <c r="E1595" s="1165">
        <v>577.91738718051397</v>
      </c>
      <c r="F1595" s="1166">
        <v>8.6055153162069506E-3</v>
      </c>
      <c r="G1595" s="1167">
        <v>9.0531719265052098E-3</v>
      </c>
    </row>
    <row r="1596" spans="1:7" x14ac:dyDescent="0.25">
      <c r="A1596" s="6" t="s">
        <v>3062</v>
      </c>
      <c r="B1596" s="6"/>
      <c r="C1596" s="1160">
        <v>1</v>
      </c>
      <c r="D1596" s="1160">
        <v>209.96412902727999</v>
      </c>
      <c r="E1596" s="1161">
        <v>224.67998455775501</v>
      </c>
      <c r="F1596" s="1162">
        <v>3.28968361291699E-3</v>
      </c>
      <c r="G1596" s="1163">
        <v>3.5208387676475498E-3</v>
      </c>
    </row>
    <row r="1597" spans="1:7" x14ac:dyDescent="0.25">
      <c r="A1597" s="11" t="s">
        <v>1033</v>
      </c>
      <c r="B1597" s="11"/>
      <c r="C1597" s="1164">
        <v>1</v>
      </c>
      <c r="D1597" s="1164">
        <v>99.484673357772493</v>
      </c>
      <c r="E1597" s="1165">
        <v>100.821175689105</v>
      </c>
      <c r="F1597" s="1166">
        <v>1.5587095814778001E-3</v>
      </c>
      <c r="G1597" s="1167">
        <v>1.57929650358024E-3</v>
      </c>
    </row>
    <row r="1598" spans="1:7" x14ac:dyDescent="0.25">
      <c r="A1598" s="6" t="s">
        <v>982</v>
      </c>
      <c r="B1598" s="6"/>
      <c r="C1598" s="1160">
        <v>204</v>
      </c>
      <c r="D1598" s="1160">
        <v>429859.990420477</v>
      </c>
      <c r="E1598" s="1161">
        <v>8.2760638930812896E-2</v>
      </c>
      <c r="F1598" s="1162">
        <v>96.475736343926599</v>
      </c>
      <c r="G1598" s="1163">
        <v>2.2430330701410401</v>
      </c>
    </row>
    <row r="1599" spans="1:7" x14ac:dyDescent="0.25">
      <c r="A1599" s="11" t="s">
        <v>978</v>
      </c>
      <c r="B1599" s="11" t="s">
        <v>1047</v>
      </c>
      <c r="C1599" s="1164">
        <v>7</v>
      </c>
      <c r="D1599" s="1164">
        <v>15422.013494574099</v>
      </c>
      <c r="E1599" s="1165">
        <v>10273.4492259045</v>
      </c>
      <c r="F1599" s="1166">
        <v>3.4612435233612802</v>
      </c>
      <c r="G1599" s="1167">
        <v>2.2559531376255002</v>
      </c>
    </row>
    <row r="1600" spans="1:7" x14ac:dyDescent="0.25">
      <c r="A1600" s="6" t="s">
        <v>980</v>
      </c>
      <c r="B1600" s="6" t="s">
        <v>1041</v>
      </c>
      <c r="C1600" s="1160">
        <v>3</v>
      </c>
      <c r="D1600" s="1160">
        <v>280.794266729806</v>
      </c>
      <c r="E1600" s="1161">
        <v>227.895893986012</v>
      </c>
      <c r="F1600" s="1162">
        <v>6.3020132712077806E-2</v>
      </c>
      <c r="G1600" s="1163">
        <v>5.1238647219532397E-2</v>
      </c>
    </row>
    <row r="1601" spans="1:7" x14ac:dyDescent="0.25">
      <c r="A1601" s="11" t="s">
        <v>6293</v>
      </c>
      <c r="B1601" s="11" t="s">
        <v>6294</v>
      </c>
      <c r="C1601" s="1164">
        <v>5865</v>
      </c>
      <c r="D1601" s="1164">
        <v>6382502.2018182296</v>
      </c>
      <c r="E1601" s="1165">
        <v>10221.9210235148</v>
      </c>
      <c r="F1601" s="1166">
        <v>93.474537834924206</v>
      </c>
      <c r="G1601" s="1167">
        <v>0.149704506672276</v>
      </c>
    </row>
    <row r="1602" spans="1:7" x14ac:dyDescent="0.25">
      <c r="A1602" s="6" t="s">
        <v>6293</v>
      </c>
      <c r="B1602" s="6" t="s">
        <v>6295</v>
      </c>
      <c r="C1602" s="1160">
        <v>6079</v>
      </c>
      <c r="D1602" s="1160">
        <v>6828065.0000000102</v>
      </c>
      <c r="E1602" s="1161">
        <v>0</v>
      </c>
      <c r="F1602" s="1162">
        <v>100</v>
      </c>
      <c r="G1602" s="1163">
        <v>0</v>
      </c>
    </row>
    <row r="1603" spans="1:7" x14ac:dyDescent="0.25">
      <c r="A1603" s="3353" t="s">
        <v>392</v>
      </c>
      <c r="B1603" s="3354"/>
      <c r="C1603" s="3354"/>
      <c r="D1603" s="3354"/>
      <c r="E1603" s="3354"/>
      <c r="F1603" s="3354"/>
      <c r="G1603" s="3354"/>
    </row>
    <row r="1604" spans="1:7" x14ac:dyDescent="0.25">
      <c r="A1604" s="11" t="s">
        <v>1174</v>
      </c>
      <c r="B1604" s="11"/>
      <c r="C1604" s="1172">
        <v>49</v>
      </c>
      <c r="D1604" s="1172">
        <v>20640.820312781401</v>
      </c>
      <c r="E1604" s="1173">
        <v>8436.4863307960204</v>
      </c>
      <c r="F1604" s="1174">
        <v>29.902805727183502</v>
      </c>
      <c r="G1604" s="1175">
        <v>12.5159983732408</v>
      </c>
    </row>
    <row r="1605" spans="1:7" x14ac:dyDescent="0.25">
      <c r="A1605" s="6" t="s">
        <v>1177</v>
      </c>
      <c r="B1605" s="6"/>
      <c r="C1605" s="1168">
        <v>8</v>
      </c>
      <c r="D1605" s="1168">
        <v>12091.8975268917</v>
      </c>
      <c r="E1605" s="1169">
        <v>10381.5550779319</v>
      </c>
      <c r="F1605" s="1170">
        <v>17.517795181606701</v>
      </c>
      <c r="G1605" s="1171">
        <v>15.6006059388747</v>
      </c>
    </row>
    <row r="1606" spans="1:7" x14ac:dyDescent="0.25">
      <c r="A1606" s="11" t="s">
        <v>6301</v>
      </c>
      <c r="B1606" s="11"/>
      <c r="C1606" s="1172">
        <v>4</v>
      </c>
      <c r="D1606" s="1172">
        <v>10057.156623119099</v>
      </c>
      <c r="E1606" s="1173">
        <v>9801.5217804210206</v>
      </c>
      <c r="F1606" s="1174">
        <v>14.570021739046901</v>
      </c>
      <c r="G1606" s="1175">
        <v>14.0833195952107</v>
      </c>
    </row>
    <row r="1607" spans="1:7" x14ac:dyDescent="0.25">
      <c r="A1607" s="6" t="s">
        <v>6296</v>
      </c>
      <c r="B1607" s="6"/>
      <c r="C1607" s="1168">
        <v>15</v>
      </c>
      <c r="D1607" s="1168">
        <v>8502.8822995310402</v>
      </c>
      <c r="E1607" s="1169">
        <v>5711.7892928184301</v>
      </c>
      <c r="F1607" s="1170">
        <v>12.318310690711201</v>
      </c>
      <c r="G1607" s="1171">
        <v>9.8111206860995797</v>
      </c>
    </row>
    <row r="1608" spans="1:7" x14ac:dyDescent="0.25">
      <c r="A1608" s="11" t="s">
        <v>6297</v>
      </c>
      <c r="B1608" s="11"/>
      <c r="C1608" s="1172">
        <v>9</v>
      </c>
      <c r="D1608" s="1172">
        <v>4699.9030243768102</v>
      </c>
      <c r="E1608" s="1173">
        <v>3716.0210511519399</v>
      </c>
      <c r="F1608" s="1174">
        <v>6.8088518258896302</v>
      </c>
      <c r="G1608" s="1175">
        <v>5.1077948908570496</v>
      </c>
    </row>
    <row r="1609" spans="1:7" x14ac:dyDescent="0.25">
      <c r="A1609" s="6" t="s">
        <v>1017</v>
      </c>
      <c r="B1609" s="6"/>
      <c r="C1609" s="1168">
        <v>6</v>
      </c>
      <c r="D1609" s="1168">
        <v>4514.7226313718902</v>
      </c>
      <c r="E1609" s="1169">
        <v>4447.1850487635802</v>
      </c>
      <c r="F1609" s="1170">
        <v>6.5405769592613598</v>
      </c>
      <c r="G1609" s="1171">
        <v>6.2414345794313997</v>
      </c>
    </row>
    <row r="1610" spans="1:7" x14ac:dyDescent="0.25">
      <c r="A1610" s="11" t="s">
        <v>1179</v>
      </c>
      <c r="B1610" s="11"/>
      <c r="C1610" s="1172">
        <v>4</v>
      </c>
      <c r="D1610" s="1172">
        <v>2641.0964636191302</v>
      </c>
      <c r="E1610" s="1173">
        <v>2671.1495683011099</v>
      </c>
      <c r="F1610" s="1174">
        <v>3.8262139421585699</v>
      </c>
      <c r="G1610" s="1175">
        <v>4.0428114744508203</v>
      </c>
    </row>
    <row r="1611" spans="1:7" x14ac:dyDescent="0.25">
      <c r="A1611" s="6" t="s">
        <v>6302</v>
      </c>
      <c r="B1611" s="6"/>
      <c r="C1611" s="1168">
        <v>3</v>
      </c>
      <c r="D1611" s="1168">
        <v>1459.4172080143701</v>
      </c>
      <c r="E1611" s="1169">
        <v>1445.4952197918701</v>
      </c>
      <c r="F1611" s="1170">
        <v>2.1142894800134702</v>
      </c>
      <c r="G1611" s="1171">
        <v>2.1925445266604702</v>
      </c>
    </row>
    <row r="1612" spans="1:7" x14ac:dyDescent="0.25">
      <c r="A1612" s="11" t="s">
        <v>6303</v>
      </c>
      <c r="B1612" s="11"/>
      <c r="C1612" s="1172">
        <v>4</v>
      </c>
      <c r="D1612" s="1172">
        <v>1171.3818891919</v>
      </c>
      <c r="E1612" s="1173">
        <v>802.81539882601396</v>
      </c>
      <c r="F1612" s="1174">
        <v>1.6970064432544001</v>
      </c>
      <c r="G1612" s="1175">
        <v>1.2404281839584199</v>
      </c>
    </row>
    <row r="1613" spans="1:7" x14ac:dyDescent="0.25">
      <c r="A1613" s="6" t="s">
        <v>1183</v>
      </c>
      <c r="B1613" s="6"/>
      <c r="C1613" s="1168">
        <v>1</v>
      </c>
      <c r="D1613" s="1168">
        <v>774.22971252027696</v>
      </c>
      <c r="E1613" s="1169">
        <v>832.40365423283299</v>
      </c>
      <c r="F1613" s="1170">
        <v>1.1216434391113199</v>
      </c>
      <c r="G1613" s="1171">
        <v>1.2339617606556299</v>
      </c>
    </row>
    <row r="1614" spans="1:7" x14ac:dyDescent="0.25">
      <c r="A1614" s="11" t="s">
        <v>1079</v>
      </c>
      <c r="B1614" s="11"/>
      <c r="C1614" s="1172">
        <v>1</v>
      </c>
      <c r="D1614" s="1172">
        <v>578.73920462165904</v>
      </c>
      <c r="E1614" s="1173">
        <v>594.71679637565796</v>
      </c>
      <c r="F1614" s="1174">
        <v>0.838432084590639</v>
      </c>
      <c r="G1614" s="1175">
        <v>0.87295430272867403</v>
      </c>
    </row>
    <row r="1615" spans="1:7" x14ac:dyDescent="0.25">
      <c r="A1615" s="6" t="s">
        <v>6298</v>
      </c>
      <c r="B1615" s="6"/>
      <c r="C1615" s="1168">
        <v>10</v>
      </c>
      <c r="D1615" s="1168">
        <v>571.83969599624197</v>
      </c>
      <c r="E1615" s="1169">
        <v>217.65720133170601</v>
      </c>
      <c r="F1615" s="1170">
        <v>0.82843661624623899</v>
      </c>
      <c r="G1615" s="1171">
        <v>0.31953690706101401</v>
      </c>
    </row>
    <row r="1616" spans="1:7" x14ac:dyDescent="0.25">
      <c r="A1616" s="11" t="s">
        <v>6300</v>
      </c>
      <c r="B1616" s="11"/>
      <c r="C1616" s="1172">
        <v>4</v>
      </c>
      <c r="D1616" s="1172">
        <v>479.605085538227</v>
      </c>
      <c r="E1616" s="1173">
        <v>365.51807555972499</v>
      </c>
      <c r="F1616" s="1174">
        <v>0.69481432817561395</v>
      </c>
      <c r="G1616" s="1175">
        <v>0.51488558463891498</v>
      </c>
    </row>
    <row r="1617" spans="1:7" x14ac:dyDescent="0.25">
      <c r="A1617" s="6" t="s">
        <v>6299</v>
      </c>
      <c r="B1617" s="6"/>
      <c r="C1617" s="1168">
        <v>10</v>
      </c>
      <c r="D1617" s="1168">
        <v>341.37529336996698</v>
      </c>
      <c r="E1617" s="1169">
        <v>134.11138367381201</v>
      </c>
      <c r="F1617" s="1170">
        <v>0.494557819069876</v>
      </c>
      <c r="G1617" s="1171">
        <v>0.18459877225478499</v>
      </c>
    </row>
    <row r="1618" spans="1:7" x14ac:dyDescent="0.25">
      <c r="A1618" s="11" t="s">
        <v>1021</v>
      </c>
      <c r="B1618" s="11"/>
      <c r="C1618" s="1172">
        <v>4</v>
      </c>
      <c r="D1618" s="1172">
        <v>257.72012053739599</v>
      </c>
      <c r="E1618" s="1173">
        <v>140.46847057144899</v>
      </c>
      <c r="F1618" s="1174">
        <v>0.37336474905718398</v>
      </c>
      <c r="G1618" s="1175">
        <v>0.21268309925022</v>
      </c>
    </row>
    <row r="1619" spans="1:7" x14ac:dyDescent="0.25">
      <c r="A1619" s="6" t="s">
        <v>1027</v>
      </c>
      <c r="B1619" s="6"/>
      <c r="C1619" s="1168">
        <v>2</v>
      </c>
      <c r="D1619" s="1168">
        <v>150.57856330985501</v>
      </c>
      <c r="E1619" s="1169">
        <v>133.20771140279601</v>
      </c>
      <c r="F1619" s="1170">
        <v>0.21814644268497199</v>
      </c>
      <c r="G1619" s="1171">
        <v>0.180097261803118</v>
      </c>
    </row>
    <row r="1620" spans="1:7" x14ac:dyDescent="0.25">
      <c r="A1620" s="11" t="s">
        <v>3060</v>
      </c>
      <c r="B1620" s="11"/>
      <c r="C1620" s="1172">
        <v>2</v>
      </c>
      <c r="D1620" s="1172">
        <v>93.000971460649694</v>
      </c>
      <c r="E1620" s="1173">
        <v>101.92296098966</v>
      </c>
      <c r="F1620" s="1174">
        <v>0.13473253193842599</v>
      </c>
      <c r="G1620" s="1175">
        <v>0.142392755305631</v>
      </c>
    </row>
    <row r="1621" spans="1:7" x14ac:dyDescent="0.25">
      <c r="A1621" s="6" t="s">
        <v>982</v>
      </c>
      <c r="B1621" s="6" t="s">
        <v>983</v>
      </c>
      <c r="C1621" s="1168">
        <v>5895</v>
      </c>
      <c r="D1621" s="1168">
        <v>6729217.2402222101</v>
      </c>
      <c r="E1621" s="1169">
        <v>15650.789965661301</v>
      </c>
      <c r="F1621" s="1170">
        <v>99.5587923849954</v>
      </c>
      <c r="G1621" s="1171">
        <v>0.145264504523552</v>
      </c>
    </row>
    <row r="1622" spans="1:7" x14ac:dyDescent="0.25">
      <c r="A1622" s="11" t="s">
        <v>996</v>
      </c>
      <c r="B1622" s="11" t="s">
        <v>997</v>
      </c>
      <c r="C1622" s="1172">
        <v>48</v>
      </c>
      <c r="D1622" s="1172">
        <v>29821.393151550699</v>
      </c>
      <c r="E1622" s="1173">
        <v>9830.7790771728305</v>
      </c>
      <c r="F1622" s="1174">
        <v>0.44120761500464101</v>
      </c>
      <c r="G1622" s="1175">
        <v>0.145264504523549</v>
      </c>
    </row>
    <row r="1623" spans="1:7" x14ac:dyDescent="0.25">
      <c r="A1623" s="6" t="s">
        <v>6293</v>
      </c>
      <c r="B1623" s="6" t="s">
        <v>6294</v>
      </c>
      <c r="C1623" s="1168">
        <v>136</v>
      </c>
      <c r="D1623" s="1168">
        <v>69026.366626251707</v>
      </c>
      <c r="E1623" s="1169">
        <v>15221.793601601101</v>
      </c>
      <c r="F1623" s="1170">
        <v>1.0109213463294699</v>
      </c>
      <c r="G1623" s="1171">
        <v>0.222929828605927</v>
      </c>
    </row>
    <row r="1624" spans="1:7" x14ac:dyDescent="0.25">
      <c r="A1624" s="11" t="s">
        <v>6293</v>
      </c>
      <c r="B1624" s="11" t="s">
        <v>6295</v>
      </c>
      <c r="C1624" s="1172">
        <v>6079</v>
      </c>
      <c r="D1624" s="1172">
        <v>6828065.0000000196</v>
      </c>
      <c r="E1624" s="1173">
        <v>0</v>
      </c>
      <c r="F1624" s="1174">
        <v>100</v>
      </c>
      <c r="G1624" s="1175">
        <v>0</v>
      </c>
    </row>
    <row r="1625" spans="1:7" x14ac:dyDescent="0.25">
      <c r="A1625" s="3353" t="s">
        <v>91</v>
      </c>
      <c r="B1625" s="3354"/>
      <c r="C1625" s="3354"/>
      <c r="D1625" s="3354"/>
      <c r="E1625" s="3354"/>
      <c r="F1625" s="3354"/>
      <c r="G1625" s="3354"/>
    </row>
    <row r="1626" spans="1:7" x14ac:dyDescent="0.25">
      <c r="A1626" s="11" t="s">
        <v>1174</v>
      </c>
      <c r="B1626" s="11"/>
      <c r="C1626" s="1180">
        <v>5354</v>
      </c>
      <c r="D1626" s="1180">
        <v>5320987.6466290196</v>
      </c>
      <c r="E1626" s="1181">
        <v>31437.803446269099</v>
      </c>
      <c r="F1626" s="1182">
        <v>99.326003775393403</v>
      </c>
      <c r="G1626" s="1183">
        <v>0.35818413855837999</v>
      </c>
    </row>
    <row r="1627" spans="1:7" x14ac:dyDescent="0.25">
      <c r="A1627" s="6" t="s">
        <v>6296</v>
      </c>
      <c r="B1627" s="6"/>
      <c r="C1627" s="1176">
        <v>13</v>
      </c>
      <c r="D1627" s="1176">
        <v>10237.9722565342</v>
      </c>
      <c r="E1627" s="1177">
        <v>10019.5474729501</v>
      </c>
      <c r="F1627" s="1178">
        <v>0.191110549119413</v>
      </c>
      <c r="G1627" s="1179">
        <v>0.18684002178050299</v>
      </c>
    </row>
    <row r="1628" spans="1:7" x14ac:dyDescent="0.25">
      <c r="A1628" s="11" t="s">
        <v>6304</v>
      </c>
      <c r="B1628" s="11"/>
      <c r="C1628" s="1180">
        <v>1</v>
      </c>
      <c r="D1628" s="1180">
        <v>9551.2454309163404</v>
      </c>
      <c r="E1628" s="1181">
        <v>9383.8777456403604</v>
      </c>
      <c r="F1628" s="1182">
        <v>0.17829153208651499</v>
      </c>
      <c r="G1628" s="1183">
        <v>0.175036043780332</v>
      </c>
    </row>
    <row r="1629" spans="1:7" x14ac:dyDescent="0.25">
      <c r="A1629" s="6" t="s">
        <v>6298</v>
      </c>
      <c r="B1629" s="6"/>
      <c r="C1629" s="1176">
        <v>7</v>
      </c>
      <c r="D1629" s="1176">
        <v>8377.7631149114804</v>
      </c>
      <c r="E1629" s="1177">
        <v>6382.2265486693605</v>
      </c>
      <c r="F1629" s="1178">
        <v>0.156386330140838</v>
      </c>
      <c r="G1629" s="1179">
        <v>0.119133704304049</v>
      </c>
    </row>
    <row r="1630" spans="1:7" x14ac:dyDescent="0.25">
      <c r="A1630" s="11" t="s">
        <v>6299</v>
      </c>
      <c r="B1630" s="11"/>
      <c r="C1630" s="1180">
        <v>1</v>
      </c>
      <c r="D1630" s="1180">
        <v>4410.8982841594598</v>
      </c>
      <c r="E1630" s="1181">
        <v>4748.2400733908398</v>
      </c>
      <c r="F1630" s="1182">
        <v>8.2337514897794797E-2</v>
      </c>
      <c r="G1630" s="1183">
        <v>8.8652347701546896E-2</v>
      </c>
    </row>
    <row r="1631" spans="1:7" x14ac:dyDescent="0.25">
      <c r="A1631" s="6" t="s">
        <v>6297</v>
      </c>
      <c r="B1631" s="6"/>
      <c r="C1631" s="1176">
        <v>1</v>
      </c>
      <c r="D1631" s="1176">
        <v>2790.6112736103501</v>
      </c>
      <c r="E1631" s="1177">
        <v>2992.0238866285099</v>
      </c>
      <c r="F1631" s="1178">
        <v>5.20918829935412E-2</v>
      </c>
      <c r="G1631" s="1179">
        <v>5.5848860776251098E-2</v>
      </c>
    </row>
    <row r="1632" spans="1:7" x14ac:dyDescent="0.25">
      <c r="A1632" s="11" t="s">
        <v>6300</v>
      </c>
      <c r="B1632" s="11"/>
      <c r="C1632" s="1180">
        <v>2</v>
      </c>
      <c r="D1632" s="1180">
        <v>498.728642572767</v>
      </c>
      <c r="E1632" s="1181">
        <v>517.48033465022195</v>
      </c>
      <c r="F1632" s="1182">
        <v>9.3096857810715406E-3</v>
      </c>
      <c r="G1632" s="1183">
        <v>9.6681023669661498E-3</v>
      </c>
    </row>
    <row r="1633" spans="1:7" x14ac:dyDescent="0.25">
      <c r="A1633" s="6" t="s">
        <v>6301</v>
      </c>
      <c r="B1633" s="6"/>
      <c r="C1633" s="1176">
        <v>2</v>
      </c>
      <c r="D1633" s="1176">
        <v>162.67310294159299</v>
      </c>
      <c r="E1633" s="1177">
        <v>170.05443367223401</v>
      </c>
      <c r="F1633" s="1178">
        <v>3.0365921347642899E-3</v>
      </c>
      <c r="G1633" s="1179">
        <v>3.1741726275500998E-3</v>
      </c>
    </row>
    <row r="1634" spans="1:7" x14ac:dyDescent="0.25">
      <c r="A1634" s="11" t="s">
        <v>6302</v>
      </c>
      <c r="B1634" s="11"/>
      <c r="C1634" s="1180">
        <v>1</v>
      </c>
      <c r="D1634" s="1180">
        <v>76.720953268214004</v>
      </c>
      <c r="E1634" s="1181">
        <v>78.347576485464998</v>
      </c>
      <c r="F1634" s="1182">
        <v>1.4321374526772501E-3</v>
      </c>
      <c r="G1634" s="1183">
        <v>1.46241782320097E-3</v>
      </c>
    </row>
    <row r="1635" spans="1:7" x14ac:dyDescent="0.25">
      <c r="A1635" s="6" t="s">
        <v>982</v>
      </c>
      <c r="B1635" s="6" t="s">
        <v>983</v>
      </c>
      <c r="C1635" s="1176">
        <v>695</v>
      </c>
      <c r="D1635" s="1176">
        <v>1459738.4509998499</v>
      </c>
      <c r="E1635" s="1177">
        <v>23352.768441193501</v>
      </c>
      <c r="F1635" s="1178">
        <v>99.236402940969498</v>
      </c>
      <c r="G1635" s="1179">
        <v>0.68753808582781895</v>
      </c>
    </row>
    <row r="1636" spans="1:7" x14ac:dyDescent="0.25">
      <c r="A1636" s="11" t="s">
        <v>978</v>
      </c>
      <c r="B1636" s="11" t="s">
        <v>1047</v>
      </c>
      <c r="C1636" s="1180">
        <v>2</v>
      </c>
      <c r="D1636" s="1180">
        <v>11177.9050482932</v>
      </c>
      <c r="E1636" s="1181">
        <v>10180.990437099799</v>
      </c>
      <c r="F1636" s="1182">
        <v>0.75989989072941899</v>
      </c>
      <c r="G1636" s="1183">
        <v>0.68830465768740001</v>
      </c>
    </row>
    <row r="1637" spans="1:7" x14ac:dyDescent="0.25">
      <c r="A1637" s="6" t="s">
        <v>980</v>
      </c>
      <c r="B1637" s="6" t="s">
        <v>1041</v>
      </c>
      <c r="C1637" s="1176">
        <v>2</v>
      </c>
      <c r="D1637" s="1176">
        <v>54.3842639285076</v>
      </c>
      <c r="E1637" s="1177">
        <v>34.169070298786202</v>
      </c>
      <c r="F1637" s="1178">
        <v>3.6971683010479E-3</v>
      </c>
      <c r="G1637" s="1179">
        <v>2.3228176452789002E-3</v>
      </c>
    </row>
    <row r="1638" spans="1:7" x14ac:dyDescent="0.25">
      <c r="A1638" s="11" t="s">
        <v>6293</v>
      </c>
      <c r="B1638" s="11" t="s">
        <v>6294</v>
      </c>
      <c r="C1638" s="1180">
        <v>5382</v>
      </c>
      <c r="D1638" s="1180">
        <v>5357094.2596879303</v>
      </c>
      <c r="E1638" s="1181">
        <v>29126.050160150298</v>
      </c>
      <c r="F1638" s="1182">
        <v>78.456989786827293</v>
      </c>
      <c r="G1638" s="1183">
        <v>0.42656375064023799</v>
      </c>
    </row>
    <row r="1639" spans="1:7" x14ac:dyDescent="0.25">
      <c r="A1639" s="6" t="s">
        <v>6293</v>
      </c>
      <c r="B1639" s="6" t="s">
        <v>6295</v>
      </c>
      <c r="C1639" s="1176">
        <v>6081</v>
      </c>
      <c r="D1639" s="1176">
        <v>6828065</v>
      </c>
      <c r="E1639" s="1177">
        <v>0</v>
      </c>
      <c r="F1639" s="1178">
        <v>100</v>
      </c>
      <c r="G1639" s="1179">
        <v>0</v>
      </c>
    </row>
    <row r="1640" spans="1:7" x14ac:dyDescent="0.25">
      <c r="A1640" s="3353" t="s">
        <v>573</v>
      </c>
      <c r="B1640" s="3354"/>
      <c r="C1640" s="3354"/>
      <c r="D1640" s="3354"/>
      <c r="E1640" s="3354"/>
      <c r="F1640" s="3354"/>
      <c r="G1640" s="3354"/>
    </row>
    <row r="1641" spans="1:7" x14ac:dyDescent="0.25">
      <c r="A1641" s="11" t="s">
        <v>1174</v>
      </c>
      <c r="B1641" s="11"/>
      <c r="C1641" s="1188">
        <v>5144</v>
      </c>
      <c r="D1641" s="1188">
        <v>4789196.16959175</v>
      </c>
      <c r="E1641" s="1189">
        <v>64847.512538796902</v>
      </c>
      <c r="F1641" s="1190">
        <v>89.399902648467901</v>
      </c>
      <c r="G1641" s="1191">
        <v>1.06969271522714</v>
      </c>
    </row>
    <row r="1642" spans="1:7" x14ac:dyDescent="0.25">
      <c r="A1642" s="6" t="s">
        <v>6296</v>
      </c>
      <c r="B1642" s="6"/>
      <c r="C1642" s="1184">
        <v>79</v>
      </c>
      <c r="D1642" s="1184">
        <v>200692.28015272401</v>
      </c>
      <c r="E1642" s="1185">
        <v>33806.208515796199</v>
      </c>
      <c r="F1642" s="1186">
        <v>3.74632186124922</v>
      </c>
      <c r="G1642" s="1187">
        <v>0.63891011192700997</v>
      </c>
    </row>
    <row r="1643" spans="1:7" x14ac:dyDescent="0.25">
      <c r="A1643" s="11" t="s">
        <v>6298</v>
      </c>
      <c r="B1643" s="11"/>
      <c r="C1643" s="1188">
        <v>69</v>
      </c>
      <c r="D1643" s="1188">
        <v>140428.27184099599</v>
      </c>
      <c r="E1643" s="1189">
        <v>33982.5174079391</v>
      </c>
      <c r="F1643" s="1190">
        <v>2.6213738980643599</v>
      </c>
      <c r="G1643" s="1191">
        <v>0.63269331245677995</v>
      </c>
    </row>
    <row r="1644" spans="1:7" x14ac:dyDescent="0.25">
      <c r="A1644" s="6" t="s">
        <v>6297</v>
      </c>
      <c r="B1644" s="6"/>
      <c r="C1644" s="1184">
        <v>25</v>
      </c>
      <c r="D1644" s="1184">
        <v>67265.971240984407</v>
      </c>
      <c r="E1644" s="1185">
        <v>21794.735474629</v>
      </c>
      <c r="F1644" s="1186">
        <v>1.25565357265607</v>
      </c>
      <c r="G1644" s="1187">
        <v>0.40865857640463299</v>
      </c>
    </row>
    <row r="1645" spans="1:7" x14ac:dyDescent="0.25">
      <c r="A1645" s="11" t="s">
        <v>6299</v>
      </c>
      <c r="B1645" s="11"/>
      <c r="C1645" s="1188">
        <v>18</v>
      </c>
      <c r="D1645" s="1188">
        <v>44467.505711475198</v>
      </c>
      <c r="E1645" s="1189">
        <v>14517.9402684979</v>
      </c>
      <c r="F1645" s="1190">
        <v>0.83007472253218495</v>
      </c>
      <c r="G1645" s="1191">
        <v>0.27097918267410598</v>
      </c>
    </row>
    <row r="1646" spans="1:7" x14ac:dyDescent="0.25">
      <c r="A1646" s="6" t="s">
        <v>6300</v>
      </c>
      <c r="B1646" s="6"/>
      <c r="C1646" s="1184">
        <v>15</v>
      </c>
      <c r="D1646" s="1184">
        <v>40098.474612575199</v>
      </c>
      <c r="E1646" s="1185">
        <v>15848.190253633</v>
      </c>
      <c r="F1646" s="1186">
        <v>0.74851803930634697</v>
      </c>
      <c r="G1646" s="1187">
        <v>0.29498796724836202</v>
      </c>
    </row>
    <row r="1647" spans="1:7" x14ac:dyDescent="0.25">
      <c r="A1647" s="11" t="s">
        <v>1017</v>
      </c>
      <c r="B1647" s="11"/>
      <c r="C1647" s="1188">
        <v>8</v>
      </c>
      <c r="D1647" s="1188">
        <v>21740.092647928799</v>
      </c>
      <c r="E1647" s="1189">
        <v>11169.5750394102</v>
      </c>
      <c r="F1647" s="1190">
        <v>0.40582220846033601</v>
      </c>
      <c r="G1647" s="1191">
        <v>0.20940989437584501</v>
      </c>
    </row>
    <row r="1648" spans="1:7" x14ac:dyDescent="0.25">
      <c r="A1648" s="6" t="s">
        <v>6301</v>
      </c>
      <c r="B1648" s="6"/>
      <c r="C1648" s="1184">
        <v>7</v>
      </c>
      <c r="D1648" s="1184">
        <v>18563.995895476099</v>
      </c>
      <c r="E1648" s="1185">
        <v>12350.2477660358</v>
      </c>
      <c r="F1648" s="1186">
        <v>0.34653402513758202</v>
      </c>
      <c r="G1648" s="1187">
        <v>0.23015472625001401</v>
      </c>
    </row>
    <row r="1649" spans="1:7" x14ac:dyDescent="0.25">
      <c r="A1649" s="11" t="s">
        <v>1027</v>
      </c>
      <c r="B1649" s="11"/>
      <c r="C1649" s="1188">
        <v>3</v>
      </c>
      <c r="D1649" s="1188">
        <v>11565.242241705901</v>
      </c>
      <c r="E1649" s="1189">
        <v>7462.5406293705601</v>
      </c>
      <c r="F1649" s="1190">
        <v>0.215888323196959</v>
      </c>
      <c r="G1649" s="1191">
        <v>0.13912187455824901</v>
      </c>
    </row>
    <row r="1650" spans="1:7" x14ac:dyDescent="0.25">
      <c r="A1650" s="6" t="s">
        <v>1177</v>
      </c>
      <c r="B1650" s="6"/>
      <c r="C1650" s="1184">
        <v>3</v>
      </c>
      <c r="D1650" s="1184">
        <v>9595.0652111681393</v>
      </c>
      <c r="E1650" s="1185">
        <v>9915.5219506784197</v>
      </c>
      <c r="F1650" s="1186">
        <v>0.17911103772081499</v>
      </c>
      <c r="G1650" s="1187">
        <v>0.185068809900544</v>
      </c>
    </row>
    <row r="1651" spans="1:7" x14ac:dyDescent="0.25">
      <c r="A1651" s="11" t="s">
        <v>1179</v>
      </c>
      <c r="B1651" s="11"/>
      <c r="C1651" s="1188">
        <v>1</v>
      </c>
      <c r="D1651" s="1188">
        <v>9105.09423578524</v>
      </c>
      <c r="E1651" s="1189">
        <v>9210.2691892428393</v>
      </c>
      <c r="F1651" s="1190">
        <v>0.16996475179961501</v>
      </c>
      <c r="G1651" s="1191">
        <v>0.17179889609793</v>
      </c>
    </row>
    <row r="1652" spans="1:7" x14ac:dyDescent="0.25">
      <c r="A1652" s="6" t="s">
        <v>6303</v>
      </c>
      <c r="B1652" s="6"/>
      <c r="C1652" s="1184">
        <v>2</v>
      </c>
      <c r="D1652" s="1184">
        <v>1292.48002658003</v>
      </c>
      <c r="E1652" s="1185">
        <v>1273.70491050347</v>
      </c>
      <c r="F1652" s="1186">
        <v>2.41267186516591E-2</v>
      </c>
      <c r="G1652" s="1187">
        <v>2.3776700011163401E-2</v>
      </c>
    </row>
    <row r="1653" spans="1:7" x14ac:dyDescent="0.25">
      <c r="A1653" s="11" t="s">
        <v>6302</v>
      </c>
      <c r="B1653" s="11"/>
      <c r="C1653" s="1188">
        <v>3</v>
      </c>
      <c r="D1653" s="1188">
        <v>1049.81411901401</v>
      </c>
      <c r="E1653" s="1189">
        <v>966.03628006660404</v>
      </c>
      <c r="F1653" s="1190">
        <v>1.9596875282484001E-2</v>
      </c>
      <c r="G1653" s="1191">
        <v>1.8040917934319601E-2</v>
      </c>
    </row>
    <row r="1654" spans="1:7" x14ac:dyDescent="0.25">
      <c r="A1654" s="6" t="s">
        <v>6304</v>
      </c>
      <c r="B1654" s="6"/>
      <c r="C1654" s="1184">
        <v>1</v>
      </c>
      <c r="D1654" s="1184">
        <v>919.20623526812801</v>
      </c>
      <c r="E1654" s="1185">
        <v>936.23086838197798</v>
      </c>
      <c r="F1654" s="1186">
        <v>1.7158818523368299E-2</v>
      </c>
      <c r="G1654" s="1187">
        <v>1.74751442058344E-2</v>
      </c>
    </row>
    <row r="1655" spans="1:7" x14ac:dyDescent="0.25">
      <c r="A1655" s="11" t="s">
        <v>1021</v>
      </c>
      <c r="B1655" s="11"/>
      <c r="C1655" s="1188">
        <v>2</v>
      </c>
      <c r="D1655" s="1188">
        <v>611.43720570288997</v>
      </c>
      <c r="E1655" s="1189">
        <v>618.31803296841804</v>
      </c>
      <c r="F1655" s="1190">
        <v>1.1413695478285101E-2</v>
      </c>
      <c r="G1655" s="1191">
        <v>1.15479088082666E-2</v>
      </c>
    </row>
    <row r="1656" spans="1:7" x14ac:dyDescent="0.25">
      <c r="A1656" s="6" t="s">
        <v>3054</v>
      </c>
      <c r="B1656" s="6"/>
      <c r="C1656" s="1184">
        <v>1</v>
      </c>
      <c r="D1656" s="1184">
        <v>457.427845819043</v>
      </c>
      <c r="E1656" s="1185">
        <v>476.64394371204099</v>
      </c>
      <c r="F1656" s="1186">
        <v>8.5388034728188598E-3</v>
      </c>
      <c r="G1656" s="1187">
        <v>8.9067144025637805E-3</v>
      </c>
    </row>
    <row r="1657" spans="1:7" x14ac:dyDescent="0.25">
      <c r="A1657" s="11" t="s">
        <v>982</v>
      </c>
      <c r="B1657" s="11" t="s">
        <v>983</v>
      </c>
      <c r="C1657" s="1188">
        <v>695</v>
      </c>
      <c r="D1657" s="1188">
        <v>1459738.4509998499</v>
      </c>
      <c r="E1657" s="1189">
        <v>23352.768441193501</v>
      </c>
      <c r="F1657" s="1190">
        <v>99.233317885549198</v>
      </c>
      <c r="G1657" s="1191">
        <v>0.68794473142526202</v>
      </c>
    </row>
    <row r="1658" spans="1:7" x14ac:dyDescent="0.25">
      <c r="A1658" s="6" t="s">
        <v>978</v>
      </c>
      <c r="B1658" s="6" t="s">
        <v>1047</v>
      </c>
      <c r="C1658" s="1184">
        <v>3</v>
      </c>
      <c r="D1658" s="1184">
        <v>11223.6359212729</v>
      </c>
      <c r="E1658" s="1185">
        <v>10187.967451256</v>
      </c>
      <c r="F1658" s="1186">
        <v>0.76298506108712405</v>
      </c>
      <c r="G1658" s="1187">
        <v>0.68871231455118698</v>
      </c>
    </row>
    <row r="1659" spans="1:7" x14ac:dyDescent="0.25">
      <c r="A1659" s="11" t="s">
        <v>980</v>
      </c>
      <c r="B1659" s="11" t="s">
        <v>1041</v>
      </c>
      <c r="C1659" s="1188">
        <v>2</v>
      </c>
      <c r="D1659" s="1188">
        <v>54.3842639285076</v>
      </c>
      <c r="E1659" s="1189">
        <v>34.169070298786202</v>
      </c>
      <c r="F1659" s="1190">
        <v>3.6970533636986099E-3</v>
      </c>
      <c r="G1659" s="1191">
        <v>2.3227552041084798E-3</v>
      </c>
    </row>
    <row r="1660" spans="1:7" x14ac:dyDescent="0.25">
      <c r="A1660" s="6" t="s">
        <v>6293</v>
      </c>
      <c r="B1660" s="6" t="s">
        <v>6294</v>
      </c>
      <c r="C1660" s="1184">
        <v>5381</v>
      </c>
      <c r="D1660" s="1184">
        <v>5357048.52881495</v>
      </c>
      <c r="E1660" s="1185">
        <v>29132.859891787899</v>
      </c>
      <c r="F1660" s="1186">
        <v>78.456320038179896</v>
      </c>
      <c r="G1660" s="1187">
        <v>0.42666348214001298</v>
      </c>
    </row>
    <row r="1661" spans="1:7" x14ac:dyDescent="0.25">
      <c r="A1661" s="11" t="s">
        <v>6293</v>
      </c>
      <c r="B1661" s="11" t="s">
        <v>6295</v>
      </c>
      <c r="C1661" s="1188">
        <v>6081</v>
      </c>
      <c r="D1661" s="1188">
        <v>6828065</v>
      </c>
      <c r="E1661" s="1189">
        <v>0</v>
      </c>
      <c r="F1661" s="1190">
        <v>100</v>
      </c>
      <c r="G1661" s="1191">
        <v>0</v>
      </c>
    </row>
    <row r="1662" spans="1:7" x14ac:dyDescent="0.25">
      <c r="A1662" s="3353" t="s">
        <v>88</v>
      </c>
      <c r="B1662" s="3354"/>
      <c r="C1662" s="3354"/>
      <c r="D1662" s="3354"/>
      <c r="E1662" s="3354"/>
      <c r="F1662" s="3354"/>
      <c r="G1662" s="3354"/>
    </row>
    <row r="1663" spans="1:7" x14ac:dyDescent="0.25">
      <c r="A1663" s="11" t="s">
        <v>6296</v>
      </c>
      <c r="B1663" s="11"/>
      <c r="C1663" s="1196">
        <v>1450</v>
      </c>
      <c r="D1663" s="1196">
        <v>1888769.37598811</v>
      </c>
      <c r="E1663" s="1197">
        <v>98995.160183934306</v>
      </c>
      <c r="F1663" s="1198">
        <v>87.096048556317996</v>
      </c>
      <c r="G1663" s="1199">
        <v>2.2338336664401299</v>
      </c>
    </row>
    <row r="1664" spans="1:7" x14ac:dyDescent="0.25">
      <c r="A1664" s="6" t="s">
        <v>6298</v>
      </c>
      <c r="B1664" s="6"/>
      <c r="C1664" s="1192">
        <v>140</v>
      </c>
      <c r="D1664" s="1192">
        <v>226164.014205919</v>
      </c>
      <c r="E1664" s="1193">
        <v>35382.557711158603</v>
      </c>
      <c r="F1664" s="1194">
        <v>10.4290085456651</v>
      </c>
      <c r="G1664" s="1195">
        <v>1.6618032110033001</v>
      </c>
    </row>
    <row r="1665" spans="1:7" x14ac:dyDescent="0.25">
      <c r="A1665" s="11" t="s">
        <v>6297</v>
      </c>
      <c r="B1665" s="11"/>
      <c r="C1665" s="1196">
        <v>21</v>
      </c>
      <c r="D1665" s="1196">
        <v>39465.501211338997</v>
      </c>
      <c r="E1665" s="1197">
        <v>28267.340724041402</v>
      </c>
      <c r="F1665" s="1198">
        <v>1.8198564914808499</v>
      </c>
      <c r="G1665" s="1199">
        <v>1.29829738177007</v>
      </c>
    </row>
    <row r="1666" spans="1:7" x14ac:dyDescent="0.25">
      <c r="A1666" s="6" t="s">
        <v>6300</v>
      </c>
      <c r="B1666" s="6"/>
      <c r="C1666" s="1192">
        <v>13</v>
      </c>
      <c r="D1666" s="1192">
        <v>9026.9803962426504</v>
      </c>
      <c r="E1666" s="1193">
        <v>5765.6740777122995</v>
      </c>
      <c r="F1666" s="1194">
        <v>0.416257449375878</v>
      </c>
      <c r="G1666" s="1195">
        <v>0.26937408567078502</v>
      </c>
    </row>
    <row r="1667" spans="1:7" x14ac:dyDescent="0.25">
      <c r="A1667" s="11" t="s">
        <v>1177</v>
      </c>
      <c r="B1667" s="11"/>
      <c r="C1667" s="1196">
        <v>1</v>
      </c>
      <c r="D1667" s="1196">
        <v>3848.3780045625699</v>
      </c>
      <c r="E1667" s="1197">
        <v>3929.66623579721</v>
      </c>
      <c r="F1667" s="1198">
        <v>0.17745867854994099</v>
      </c>
      <c r="G1667" s="1199">
        <v>0.18071094704464799</v>
      </c>
    </row>
    <row r="1668" spans="1:7" x14ac:dyDescent="0.25">
      <c r="A1668" s="6" t="s">
        <v>1017</v>
      </c>
      <c r="B1668" s="6"/>
      <c r="C1668" s="1192">
        <v>2</v>
      </c>
      <c r="D1668" s="1192">
        <v>962.46645378156597</v>
      </c>
      <c r="E1668" s="1193">
        <v>871.88318214245999</v>
      </c>
      <c r="F1668" s="1194">
        <v>4.4381821337256801E-2</v>
      </c>
      <c r="G1668" s="1195">
        <v>4.0323826881322397E-2</v>
      </c>
    </row>
    <row r="1669" spans="1:7" x14ac:dyDescent="0.25">
      <c r="A1669" s="11" t="s">
        <v>6304</v>
      </c>
      <c r="B1669" s="11"/>
      <c r="C1669" s="1196">
        <v>1</v>
      </c>
      <c r="D1669" s="1196">
        <v>343.999133668051</v>
      </c>
      <c r="E1669" s="1197">
        <v>385.57232709111503</v>
      </c>
      <c r="F1669" s="1198">
        <v>1.5862691141744E-2</v>
      </c>
      <c r="G1669" s="1199">
        <v>1.7746138026395401E-2</v>
      </c>
    </row>
    <row r="1670" spans="1:7" x14ac:dyDescent="0.25">
      <c r="A1670" s="6" t="s">
        <v>6299</v>
      </c>
      <c r="B1670" s="6"/>
      <c r="C1670" s="1192">
        <v>3</v>
      </c>
      <c r="D1670" s="1192">
        <v>24.413422061711799</v>
      </c>
      <c r="E1670" s="1193">
        <v>26.0590516718682</v>
      </c>
      <c r="F1670" s="1194">
        <v>1.12576613129401E-3</v>
      </c>
      <c r="G1670" s="1195">
        <v>1.19393160514779E-3</v>
      </c>
    </row>
    <row r="1671" spans="1:7" x14ac:dyDescent="0.25">
      <c r="A1671" s="11" t="s">
        <v>996</v>
      </c>
      <c r="B1671" s="11" t="s">
        <v>997</v>
      </c>
      <c r="C1671" s="1196">
        <v>4245</v>
      </c>
      <c r="D1671" s="1196">
        <v>4229599.8807638399</v>
      </c>
      <c r="E1671" s="1197">
        <v>93071.396849499797</v>
      </c>
      <c r="F1671" s="1198">
        <v>90.774467378099402</v>
      </c>
      <c r="G1671" s="1199">
        <v>0.18477454852811401</v>
      </c>
    </row>
    <row r="1672" spans="1:7" x14ac:dyDescent="0.25">
      <c r="A1672" s="6" t="s">
        <v>982</v>
      </c>
      <c r="B1672" s="6"/>
      <c r="C1672" s="1192">
        <v>204</v>
      </c>
      <c r="D1672" s="1192">
        <v>429859.990420477</v>
      </c>
      <c r="E1672" s="1193">
        <v>8.2760638930812896E-2</v>
      </c>
      <c r="F1672" s="1194">
        <v>9.2255326219005909</v>
      </c>
      <c r="G1672" s="1195">
        <v>0.18477454852811601</v>
      </c>
    </row>
    <row r="1673" spans="1:7" x14ac:dyDescent="0.25">
      <c r="A1673" s="11" t="s">
        <v>6293</v>
      </c>
      <c r="B1673" s="11" t="s">
        <v>6294</v>
      </c>
      <c r="C1673" s="1196">
        <v>1631</v>
      </c>
      <c r="D1673" s="1196">
        <v>2168605.1288156901</v>
      </c>
      <c r="E1673" s="1197">
        <v>93071.392055070799</v>
      </c>
      <c r="F1673" s="1198">
        <v>31.7601711292392</v>
      </c>
      <c r="G1673" s="1199">
        <v>1.36307126623826</v>
      </c>
    </row>
    <row r="1674" spans="1:7" x14ac:dyDescent="0.25">
      <c r="A1674" s="6" t="s">
        <v>6293</v>
      </c>
      <c r="B1674" s="6" t="s">
        <v>6295</v>
      </c>
      <c r="C1674" s="1192">
        <v>6080</v>
      </c>
      <c r="D1674" s="1192">
        <v>6828065.0000000102</v>
      </c>
      <c r="E1674" s="1193">
        <v>0</v>
      </c>
      <c r="F1674" s="1194">
        <v>100</v>
      </c>
      <c r="G1674" s="1195">
        <v>0</v>
      </c>
    </row>
    <row r="1675" spans="1:7" x14ac:dyDescent="0.25">
      <c r="A1675" s="3353" t="s">
        <v>657</v>
      </c>
      <c r="B1675" s="3354"/>
      <c r="C1675" s="3354"/>
      <c r="D1675" s="3354"/>
      <c r="E1675" s="3354"/>
      <c r="F1675" s="3354"/>
      <c r="G1675" s="3354"/>
    </row>
    <row r="1676" spans="1:7" x14ac:dyDescent="0.25">
      <c r="A1676" s="11" t="s">
        <v>1027</v>
      </c>
      <c r="B1676" s="11"/>
      <c r="C1676" s="1204">
        <v>268</v>
      </c>
      <c r="D1676" s="1204">
        <v>319299.55257484398</v>
      </c>
      <c r="E1676" s="1205">
        <v>30251.021222928299</v>
      </c>
      <c r="F1676" s="1206">
        <v>13.248089509783901</v>
      </c>
      <c r="G1676" s="1207">
        <v>1.36964042625102</v>
      </c>
    </row>
    <row r="1677" spans="1:7" x14ac:dyDescent="0.25">
      <c r="A1677" s="6" t="s">
        <v>1177</v>
      </c>
      <c r="B1677" s="6"/>
      <c r="C1677" s="1200">
        <v>207</v>
      </c>
      <c r="D1677" s="1200">
        <v>314244.00662825798</v>
      </c>
      <c r="E1677" s="1201">
        <v>45175.706026571199</v>
      </c>
      <c r="F1677" s="1202">
        <v>13.0383293498304</v>
      </c>
      <c r="G1677" s="1203">
        <v>1.6115022139767401</v>
      </c>
    </row>
    <row r="1678" spans="1:7" x14ac:dyDescent="0.25">
      <c r="A1678" s="11" t="s">
        <v>1179</v>
      </c>
      <c r="B1678" s="11"/>
      <c r="C1678" s="1204">
        <v>147</v>
      </c>
      <c r="D1678" s="1204">
        <v>224129.47182463401</v>
      </c>
      <c r="E1678" s="1205">
        <v>45435.728085761999</v>
      </c>
      <c r="F1678" s="1206">
        <v>9.2993782188822607</v>
      </c>
      <c r="G1678" s="1207">
        <v>1.9301362262786801</v>
      </c>
    </row>
    <row r="1679" spans="1:7" x14ac:dyDescent="0.25">
      <c r="A1679" s="6" t="s">
        <v>3054</v>
      </c>
      <c r="B1679" s="6"/>
      <c r="C1679" s="1200">
        <v>118</v>
      </c>
      <c r="D1679" s="1200">
        <v>215044.887343693</v>
      </c>
      <c r="E1679" s="1201">
        <v>26023.993592670598</v>
      </c>
      <c r="F1679" s="1202">
        <v>8.9224488201650693</v>
      </c>
      <c r="G1679" s="1203">
        <v>1.0323587802698699</v>
      </c>
    </row>
    <row r="1680" spans="1:7" x14ac:dyDescent="0.25">
      <c r="A1680" s="11" t="s">
        <v>1017</v>
      </c>
      <c r="B1680" s="11"/>
      <c r="C1680" s="1204">
        <v>213</v>
      </c>
      <c r="D1680" s="1204">
        <v>190207.844374362</v>
      </c>
      <c r="E1680" s="1205">
        <v>40544.754206636702</v>
      </c>
      <c r="F1680" s="1206">
        <v>7.89193259875909</v>
      </c>
      <c r="G1680" s="1207">
        <v>1.5881157949878499</v>
      </c>
    </row>
    <row r="1681" spans="1:7" x14ac:dyDescent="0.25">
      <c r="A1681" s="6" t="s">
        <v>3083</v>
      </c>
      <c r="B1681" s="6"/>
      <c r="C1681" s="1200">
        <v>68</v>
      </c>
      <c r="D1681" s="1200">
        <v>141169.21234185601</v>
      </c>
      <c r="E1681" s="1201">
        <v>27937.995486201798</v>
      </c>
      <c r="F1681" s="1202">
        <v>5.8572658372022701</v>
      </c>
      <c r="G1681" s="1203">
        <v>1.1751025049350601</v>
      </c>
    </row>
    <row r="1682" spans="1:7" x14ac:dyDescent="0.25">
      <c r="A1682" s="11" t="s">
        <v>1181</v>
      </c>
      <c r="B1682" s="11"/>
      <c r="C1682" s="1204">
        <v>59</v>
      </c>
      <c r="D1682" s="1204">
        <v>130993.341147121</v>
      </c>
      <c r="E1682" s="1205">
        <v>20967.149045848098</v>
      </c>
      <c r="F1682" s="1206">
        <v>5.4350577528477597</v>
      </c>
      <c r="G1682" s="1207">
        <v>0.82347457046612604</v>
      </c>
    </row>
    <row r="1683" spans="1:7" x14ac:dyDescent="0.25">
      <c r="A1683" s="6" t="s">
        <v>6299</v>
      </c>
      <c r="B1683" s="6"/>
      <c r="C1683" s="1200">
        <v>129</v>
      </c>
      <c r="D1683" s="1200">
        <v>108782.775466654</v>
      </c>
      <c r="E1683" s="1201">
        <v>23036.421634884598</v>
      </c>
      <c r="F1683" s="1202">
        <v>4.5135169619980902</v>
      </c>
      <c r="G1683" s="1203">
        <v>0.96943468569666402</v>
      </c>
    </row>
    <row r="1684" spans="1:7" x14ac:dyDescent="0.25">
      <c r="A1684" s="11" t="s">
        <v>1185</v>
      </c>
      <c r="B1684" s="11"/>
      <c r="C1684" s="1204">
        <v>49</v>
      </c>
      <c r="D1684" s="1204">
        <v>100201.19353422</v>
      </c>
      <c r="E1684" s="1205">
        <v>28454.299559438601</v>
      </c>
      <c r="F1684" s="1206">
        <v>4.1574576920754502</v>
      </c>
      <c r="G1684" s="1207">
        <v>1.2192901022651299</v>
      </c>
    </row>
    <row r="1685" spans="1:7" x14ac:dyDescent="0.25">
      <c r="A1685" s="6" t="s">
        <v>3069</v>
      </c>
      <c r="B1685" s="6"/>
      <c r="C1685" s="1200">
        <v>52</v>
      </c>
      <c r="D1685" s="1200">
        <v>82679.791739067601</v>
      </c>
      <c r="E1685" s="1201">
        <v>20448.856610264102</v>
      </c>
      <c r="F1685" s="1202">
        <v>3.43047546661598</v>
      </c>
      <c r="G1685" s="1203">
        <v>0.84286285746200795</v>
      </c>
    </row>
    <row r="1686" spans="1:7" x14ac:dyDescent="0.25">
      <c r="A1686" s="11" t="s">
        <v>6303</v>
      </c>
      <c r="B1686" s="11"/>
      <c r="C1686" s="1204">
        <v>49</v>
      </c>
      <c r="D1686" s="1204">
        <v>64306.391492805102</v>
      </c>
      <c r="E1686" s="1205">
        <v>22141.6424297339</v>
      </c>
      <c r="F1686" s="1206">
        <v>2.66814288863808</v>
      </c>
      <c r="G1686" s="1207">
        <v>0.91319592453976095</v>
      </c>
    </row>
    <row r="1687" spans="1:7" x14ac:dyDescent="0.25">
      <c r="A1687" s="6" t="s">
        <v>1183</v>
      </c>
      <c r="B1687" s="6"/>
      <c r="C1687" s="1200">
        <v>25</v>
      </c>
      <c r="D1687" s="1200">
        <v>49142.777069003598</v>
      </c>
      <c r="E1687" s="1201">
        <v>22322.9625569358</v>
      </c>
      <c r="F1687" s="1202">
        <v>2.0389878536297399</v>
      </c>
      <c r="G1687" s="1203">
        <v>0.95565184977815698</v>
      </c>
    </row>
    <row r="1688" spans="1:7" x14ac:dyDescent="0.25">
      <c r="A1688" s="11" t="s">
        <v>6301</v>
      </c>
      <c r="B1688" s="11"/>
      <c r="C1688" s="1204">
        <v>19</v>
      </c>
      <c r="D1688" s="1204">
        <v>39773.159917249199</v>
      </c>
      <c r="E1688" s="1205">
        <v>16048.6851466478</v>
      </c>
      <c r="F1688" s="1206">
        <v>1.6502321360038801</v>
      </c>
      <c r="G1688" s="1207">
        <v>0.65818917823787504</v>
      </c>
    </row>
    <row r="1689" spans="1:7" x14ac:dyDescent="0.25">
      <c r="A1689" s="6" t="s">
        <v>1021</v>
      </c>
      <c r="B1689" s="6"/>
      <c r="C1689" s="1200">
        <v>41</v>
      </c>
      <c r="D1689" s="1200">
        <v>39474.354618302401</v>
      </c>
      <c r="E1689" s="1201">
        <v>10608.840273412899</v>
      </c>
      <c r="F1689" s="1202">
        <v>1.63783437561079</v>
      </c>
      <c r="G1689" s="1203">
        <v>0.44855767085026899</v>
      </c>
    </row>
    <row r="1690" spans="1:7" x14ac:dyDescent="0.25">
      <c r="A1690" s="11" t="s">
        <v>6297</v>
      </c>
      <c r="B1690" s="11"/>
      <c r="C1690" s="1204">
        <v>19</v>
      </c>
      <c r="D1690" s="1204">
        <v>37235.711543214602</v>
      </c>
      <c r="E1690" s="1205">
        <v>17885.339047276801</v>
      </c>
      <c r="F1690" s="1206">
        <v>1.54495061301213</v>
      </c>
      <c r="G1690" s="1207">
        <v>0.74460334988999299</v>
      </c>
    </row>
    <row r="1691" spans="1:7" x14ac:dyDescent="0.25">
      <c r="A1691" s="6" t="s">
        <v>6302</v>
      </c>
      <c r="B1691" s="6"/>
      <c r="C1691" s="1200">
        <v>42</v>
      </c>
      <c r="D1691" s="1200">
        <v>37028.666599986798</v>
      </c>
      <c r="E1691" s="1201">
        <v>11480.919058473501</v>
      </c>
      <c r="F1691" s="1202">
        <v>1.53636009066935</v>
      </c>
      <c r="G1691" s="1203">
        <v>0.44187870931462903</v>
      </c>
    </row>
    <row r="1692" spans="1:7" x14ac:dyDescent="0.25">
      <c r="A1692" s="11" t="s">
        <v>1071</v>
      </c>
      <c r="B1692" s="11"/>
      <c r="C1692" s="1204">
        <v>12</v>
      </c>
      <c r="D1692" s="1204">
        <v>21581.662144857899</v>
      </c>
      <c r="E1692" s="1205">
        <v>14129.7170733947</v>
      </c>
      <c r="F1692" s="1206">
        <v>0.89544689167071101</v>
      </c>
      <c r="G1692" s="1207">
        <v>0.58341707553170497</v>
      </c>
    </row>
    <row r="1693" spans="1:7" x14ac:dyDescent="0.25">
      <c r="A1693" s="6" t="s">
        <v>1191</v>
      </c>
      <c r="B1693" s="6"/>
      <c r="C1693" s="1200">
        <v>12</v>
      </c>
      <c r="D1693" s="1200">
        <v>21471.4318992687</v>
      </c>
      <c r="E1693" s="1201">
        <v>13247.844190015499</v>
      </c>
      <c r="F1693" s="1202">
        <v>0.89087331758182098</v>
      </c>
      <c r="G1693" s="1203">
        <v>0.54927144784227999</v>
      </c>
    </row>
    <row r="1694" spans="1:7" x14ac:dyDescent="0.25">
      <c r="A1694" s="11" t="s">
        <v>1031</v>
      </c>
      <c r="B1694" s="11"/>
      <c r="C1694" s="1204">
        <v>12</v>
      </c>
      <c r="D1694" s="1204">
        <v>20614.498869149898</v>
      </c>
      <c r="E1694" s="1205">
        <v>9070.8846236139707</v>
      </c>
      <c r="F1694" s="1206">
        <v>0.85531822395467605</v>
      </c>
      <c r="G1694" s="1207">
        <v>0.35927664374916501</v>
      </c>
    </row>
    <row r="1695" spans="1:7" x14ac:dyDescent="0.25">
      <c r="A1695" s="6" t="s">
        <v>1073</v>
      </c>
      <c r="B1695" s="6"/>
      <c r="C1695" s="1200">
        <v>8</v>
      </c>
      <c r="D1695" s="1200">
        <v>19082.338033831002</v>
      </c>
      <c r="E1695" s="1201">
        <v>10896.8046587626</v>
      </c>
      <c r="F1695" s="1202">
        <v>0.79174718626920004</v>
      </c>
      <c r="G1695" s="1203">
        <v>0.45217337338477998</v>
      </c>
    </row>
    <row r="1696" spans="1:7" x14ac:dyDescent="0.25">
      <c r="A1696" s="11" t="s">
        <v>6298</v>
      </c>
      <c r="B1696" s="11"/>
      <c r="C1696" s="1204">
        <v>20</v>
      </c>
      <c r="D1696" s="1204">
        <v>18845.898845030399</v>
      </c>
      <c r="E1696" s="1205">
        <v>12216.9486535705</v>
      </c>
      <c r="F1696" s="1206">
        <v>0.781937064358315</v>
      </c>
      <c r="G1696" s="1207">
        <v>0.51192376484000401</v>
      </c>
    </row>
    <row r="1697" spans="1:7" x14ac:dyDescent="0.25">
      <c r="A1697" s="6" t="s">
        <v>1033</v>
      </c>
      <c r="B1697" s="6"/>
      <c r="C1697" s="1200">
        <v>22</v>
      </c>
      <c r="D1697" s="1200">
        <v>18483.242652486399</v>
      </c>
      <c r="E1697" s="1201">
        <v>6676.4815297090299</v>
      </c>
      <c r="F1697" s="1202">
        <v>0.76689006018509498</v>
      </c>
      <c r="G1697" s="1203">
        <v>0.28275952570818902</v>
      </c>
    </row>
    <row r="1698" spans="1:7" x14ac:dyDescent="0.25">
      <c r="A1698" s="11" t="s">
        <v>6300</v>
      </c>
      <c r="B1698" s="11"/>
      <c r="C1698" s="1204">
        <v>20</v>
      </c>
      <c r="D1698" s="1204">
        <v>18328.005886692299</v>
      </c>
      <c r="E1698" s="1205">
        <v>11061.822210063199</v>
      </c>
      <c r="F1698" s="1206">
        <v>0.76044911608772503</v>
      </c>
      <c r="G1698" s="1207">
        <v>0.46736196393801699</v>
      </c>
    </row>
    <row r="1699" spans="1:7" x14ac:dyDescent="0.25">
      <c r="A1699" s="6" t="s">
        <v>1025</v>
      </c>
      <c r="B1699" s="6"/>
      <c r="C1699" s="1200">
        <v>11</v>
      </c>
      <c r="D1699" s="1200">
        <v>17364.4403233312</v>
      </c>
      <c r="E1699" s="1201">
        <v>12403.0614229324</v>
      </c>
      <c r="F1699" s="1202">
        <v>0.72046972141268795</v>
      </c>
      <c r="G1699" s="1203">
        <v>0.52015656531283705</v>
      </c>
    </row>
    <row r="1700" spans="1:7" x14ac:dyDescent="0.25">
      <c r="A1700" s="11" t="s">
        <v>6465</v>
      </c>
      <c r="B1700" s="11"/>
      <c r="C1700" s="1204">
        <v>11</v>
      </c>
      <c r="D1700" s="1204">
        <v>15754.272724213501</v>
      </c>
      <c r="E1700" s="1205">
        <v>8571.8030439608192</v>
      </c>
      <c r="F1700" s="1206">
        <v>0.65366209732788805</v>
      </c>
      <c r="G1700" s="1207">
        <v>0.355020166962001</v>
      </c>
    </row>
    <row r="1701" spans="1:7" x14ac:dyDescent="0.25">
      <c r="A1701" s="6" t="s">
        <v>3105</v>
      </c>
      <c r="B1701" s="6"/>
      <c r="C1701" s="1200">
        <v>10</v>
      </c>
      <c r="D1701" s="1200">
        <v>15233.260078339201</v>
      </c>
      <c r="E1701" s="1201">
        <v>10847.842985019</v>
      </c>
      <c r="F1701" s="1202">
        <v>0.63204470979129002</v>
      </c>
      <c r="G1701" s="1203">
        <v>0.44446232063249602</v>
      </c>
    </row>
    <row r="1702" spans="1:7" x14ac:dyDescent="0.25">
      <c r="A1702" s="11" t="s">
        <v>1023</v>
      </c>
      <c r="B1702" s="11"/>
      <c r="C1702" s="1204">
        <v>14</v>
      </c>
      <c r="D1702" s="1204">
        <v>14585.4385299609</v>
      </c>
      <c r="E1702" s="1205">
        <v>8881.8053211187398</v>
      </c>
      <c r="F1702" s="1206">
        <v>0.60516588146198702</v>
      </c>
      <c r="G1702" s="1207">
        <v>0.364384370555976</v>
      </c>
    </row>
    <row r="1703" spans="1:7" x14ac:dyDescent="0.25">
      <c r="A1703" s="6" t="s">
        <v>1029</v>
      </c>
      <c r="B1703" s="6"/>
      <c r="C1703" s="1200">
        <v>8</v>
      </c>
      <c r="D1703" s="1200">
        <v>11484.3108578421</v>
      </c>
      <c r="E1703" s="1201">
        <v>8958.4537161785993</v>
      </c>
      <c r="F1703" s="1202">
        <v>0.47649668462097999</v>
      </c>
      <c r="G1703" s="1203">
        <v>0.37264204731551998</v>
      </c>
    </row>
    <row r="1704" spans="1:7" x14ac:dyDescent="0.25">
      <c r="A1704" s="11" t="s">
        <v>3075</v>
      </c>
      <c r="B1704" s="11"/>
      <c r="C1704" s="1204">
        <v>2</v>
      </c>
      <c r="D1704" s="1204">
        <v>10597.0708153547</v>
      </c>
      <c r="E1704" s="1205">
        <v>10807.8868957615</v>
      </c>
      <c r="F1704" s="1206">
        <v>0.43968411972776</v>
      </c>
      <c r="G1704" s="1207">
        <v>0.44688314998663597</v>
      </c>
    </row>
    <row r="1705" spans="1:7" x14ac:dyDescent="0.25">
      <c r="A1705" s="6" t="s">
        <v>3060</v>
      </c>
      <c r="B1705" s="6"/>
      <c r="C1705" s="1200">
        <v>4</v>
      </c>
      <c r="D1705" s="1200">
        <v>10267.6716813769</v>
      </c>
      <c r="E1705" s="1201">
        <v>9589.3502367147194</v>
      </c>
      <c r="F1705" s="1202">
        <v>0.426016987480964</v>
      </c>
      <c r="G1705" s="1203">
        <v>0.39828347755068699</v>
      </c>
    </row>
    <row r="1706" spans="1:7" x14ac:dyDescent="0.25">
      <c r="A1706" s="11" t="s">
        <v>1085</v>
      </c>
      <c r="B1706" s="11"/>
      <c r="C1706" s="1204">
        <v>1</v>
      </c>
      <c r="D1706" s="1204">
        <v>9564.1759641507397</v>
      </c>
      <c r="E1706" s="1205">
        <v>9753.2217819072193</v>
      </c>
      <c r="F1706" s="1206">
        <v>0.39682817667178799</v>
      </c>
      <c r="G1706" s="1207">
        <v>0.40318749354281103</v>
      </c>
    </row>
    <row r="1707" spans="1:7" x14ac:dyDescent="0.25">
      <c r="A1707" s="6" t="s">
        <v>6466</v>
      </c>
      <c r="B1707" s="6"/>
      <c r="C1707" s="1200">
        <v>1</v>
      </c>
      <c r="D1707" s="1200">
        <v>9368.7157201853606</v>
      </c>
      <c r="E1707" s="1201">
        <v>9546.6065698011298</v>
      </c>
      <c r="F1707" s="1202">
        <v>0.388718316238925</v>
      </c>
      <c r="G1707" s="1203">
        <v>0.39925490158531501</v>
      </c>
    </row>
    <row r="1708" spans="1:7" x14ac:dyDescent="0.25">
      <c r="A1708" s="11" t="s">
        <v>1069</v>
      </c>
      <c r="B1708" s="11"/>
      <c r="C1708" s="1204">
        <v>2</v>
      </c>
      <c r="D1708" s="1204">
        <v>9115.3794384725406</v>
      </c>
      <c r="E1708" s="1205">
        <v>8597.3692702490807</v>
      </c>
      <c r="F1708" s="1206">
        <v>0.37820711536456603</v>
      </c>
      <c r="G1708" s="1207">
        <v>0.358167130194182</v>
      </c>
    </row>
    <row r="1709" spans="1:7" x14ac:dyDescent="0.25">
      <c r="A1709" s="6" t="s">
        <v>3097</v>
      </c>
      <c r="B1709" s="6"/>
      <c r="C1709" s="1200">
        <v>9</v>
      </c>
      <c r="D1709" s="1200">
        <v>9021.3116219441908</v>
      </c>
      <c r="E1709" s="1201">
        <v>4773.1977235201302</v>
      </c>
      <c r="F1709" s="1202">
        <v>0.37430413822818098</v>
      </c>
      <c r="G1709" s="1203">
        <v>0.19476716759437801</v>
      </c>
    </row>
    <row r="1710" spans="1:7" x14ac:dyDescent="0.25">
      <c r="A1710" s="11" t="s">
        <v>6296</v>
      </c>
      <c r="B1710" s="11"/>
      <c r="C1710" s="1204">
        <v>12</v>
      </c>
      <c r="D1710" s="1204">
        <v>8329.1058018481599</v>
      </c>
      <c r="E1710" s="1205">
        <v>7637.0476822933297</v>
      </c>
      <c r="F1710" s="1206">
        <v>0.34558375766430299</v>
      </c>
      <c r="G1710" s="1207">
        <v>0.31681376055466298</v>
      </c>
    </row>
    <row r="1711" spans="1:7" x14ac:dyDescent="0.25">
      <c r="A1711" s="6" t="s">
        <v>1174</v>
      </c>
      <c r="B1711" s="6"/>
      <c r="C1711" s="1200">
        <v>12</v>
      </c>
      <c r="D1711" s="1200">
        <v>7590.9457928889296</v>
      </c>
      <c r="E1711" s="1201">
        <v>5572.5118024257199</v>
      </c>
      <c r="F1711" s="1202">
        <v>0.314956687277342</v>
      </c>
      <c r="G1711" s="1203">
        <v>0.23010142139204501</v>
      </c>
    </row>
    <row r="1712" spans="1:7" x14ac:dyDescent="0.25">
      <c r="A1712" s="11" t="s">
        <v>1187</v>
      </c>
      <c r="B1712" s="11"/>
      <c r="C1712" s="1204">
        <v>7</v>
      </c>
      <c r="D1712" s="1204">
        <v>6761.8943091770598</v>
      </c>
      <c r="E1712" s="1205">
        <v>4848.1956121898102</v>
      </c>
      <c r="F1712" s="1206">
        <v>0.28055842966669398</v>
      </c>
      <c r="G1712" s="1207">
        <v>0.20087495469213601</v>
      </c>
    </row>
    <row r="1713" spans="1:7" x14ac:dyDescent="0.25">
      <c r="A1713" s="6" t="s">
        <v>1087</v>
      </c>
      <c r="B1713" s="6"/>
      <c r="C1713" s="1200">
        <v>2</v>
      </c>
      <c r="D1713" s="1200">
        <v>6336.19040585112</v>
      </c>
      <c r="E1713" s="1201">
        <v>4923.7647598473304</v>
      </c>
      <c r="F1713" s="1202">
        <v>0.26289550665146599</v>
      </c>
      <c r="G1713" s="1203">
        <v>0.202571682689934</v>
      </c>
    </row>
    <row r="1714" spans="1:7" x14ac:dyDescent="0.25">
      <c r="A1714" s="11" t="s">
        <v>6467</v>
      </c>
      <c r="B1714" s="11"/>
      <c r="C1714" s="1204">
        <v>1</v>
      </c>
      <c r="D1714" s="1204">
        <v>3505.1690456388101</v>
      </c>
      <c r="E1714" s="1205">
        <v>3725.5733527224602</v>
      </c>
      <c r="F1714" s="1206">
        <v>0.14543331767639101</v>
      </c>
      <c r="G1714" s="1207">
        <v>0.15557702940787799</v>
      </c>
    </row>
    <row r="1715" spans="1:7" x14ac:dyDescent="0.25">
      <c r="A1715" s="6" t="s">
        <v>1019</v>
      </c>
      <c r="B1715" s="6"/>
      <c r="C1715" s="1200">
        <v>6</v>
      </c>
      <c r="D1715" s="1200">
        <v>2395.7730025852002</v>
      </c>
      <c r="E1715" s="1201">
        <v>2349.1489415081301</v>
      </c>
      <c r="F1715" s="1202">
        <v>9.9403256056654801E-2</v>
      </c>
      <c r="G1715" s="1203">
        <v>9.7929662152611799E-2</v>
      </c>
    </row>
    <row r="1716" spans="1:7" x14ac:dyDescent="0.25">
      <c r="A1716" s="11" t="s">
        <v>1079</v>
      </c>
      <c r="B1716" s="11"/>
      <c r="C1716" s="1204">
        <v>1</v>
      </c>
      <c r="D1716" s="1204">
        <v>2047.5878593524501</v>
      </c>
      <c r="E1716" s="1205">
        <v>2173.8319641214698</v>
      </c>
      <c r="F1716" s="1206">
        <v>8.4956671630442293E-2</v>
      </c>
      <c r="G1716" s="1207">
        <v>9.0463840676360999E-2</v>
      </c>
    </row>
    <row r="1717" spans="1:7" x14ac:dyDescent="0.25">
      <c r="A1717" s="6" t="s">
        <v>4790</v>
      </c>
      <c r="B1717" s="6"/>
      <c r="C1717" s="1200">
        <v>1</v>
      </c>
      <c r="D1717" s="1200">
        <v>1874.31183583026</v>
      </c>
      <c r="E1717" s="1201">
        <v>1972.85224475773</v>
      </c>
      <c r="F1717" s="1202">
        <v>7.7767258895567501E-2</v>
      </c>
      <c r="G1717" s="1203">
        <v>8.2260372795100303E-2</v>
      </c>
    </row>
    <row r="1718" spans="1:7" x14ac:dyDescent="0.25">
      <c r="A1718" s="11" t="s">
        <v>3073</v>
      </c>
      <c r="B1718" s="11"/>
      <c r="C1718" s="1204">
        <v>2</v>
      </c>
      <c r="D1718" s="1204">
        <v>1865.1007789764899</v>
      </c>
      <c r="E1718" s="1205">
        <v>1815.0526652032499</v>
      </c>
      <c r="F1718" s="1206">
        <v>7.7385082019043594E-2</v>
      </c>
      <c r="G1718" s="1207">
        <v>7.5693826294650393E-2</v>
      </c>
    </row>
    <row r="1719" spans="1:7" x14ac:dyDescent="0.25">
      <c r="A1719" s="6" t="s">
        <v>6304</v>
      </c>
      <c r="B1719" s="6"/>
      <c r="C1719" s="1200">
        <v>6</v>
      </c>
      <c r="D1719" s="1200">
        <v>1137.32712718537</v>
      </c>
      <c r="E1719" s="1201">
        <v>1088.36936537059</v>
      </c>
      <c r="F1719" s="1202">
        <v>4.71889530109047E-2</v>
      </c>
      <c r="G1719" s="1203">
        <v>4.5087713932408999E-2</v>
      </c>
    </row>
    <row r="1720" spans="1:7" x14ac:dyDescent="0.25">
      <c r="A1720" s="11" t="s">
        <v>1035</v>
      </c>
      <c r="B1720" s="11"/>
      <c r="C1720" s="1204">
        <v>2</v>
      </c>
      <c r="D1720" s="1204">
        <v>867.62886131415905</v>
      </c>
      <c r="E1720" s="1205">
        <v>612.86165959835398</v>
      </c>
      <c r="F1720" s="1206">
        <v>3.5998875423627799E-2</v>
      </c>
      <c r="G1720" s="1207">
        <v>2.55270650115977E-2</v>
      </c>
    </row>
    <row r="1721" spans="1:7" x14ac:dyDescent="0.25">
      <c r="A1721" s="6" t="s">
        <v>1075</v>
      </c>
      <c r="B1721" s="6"/>
      <c r="C1721" s="1200">
        <v>1</v>
      </c>
      <c r="D1721" s="1200">
        <v>774.22971252027696</v>
      </c>
      <c r="E1721" s="1201">
        <v>832.40365423283299</v>
      </c>
      <c r="F1721" s="1202">
        <v>3.2123642046753699E-2</v>
      </c>
      <c r="G1721" s="1203">
        <v>3.45823565166688E-2</v>
      </c>
    </row>
    <row r="1722" spans="1:7" x14ac:dyDescent="0.25">
      <c r="A1722" s="11" t="s">
        <v>3087</v>
      </c>
      <c r="B1722" s="11"/>
      <c r="C1722" s="1204">
        <v>3</v>
      </c>
      <c r="D1722" s="1204">
        <v>628.63304157240998</v>
      </c>
      <c r="E1722" s="1205">
        <v>623.79756505328101</v>
      </c>
      <c r="F1722" s="1206">
        <v>2.6082676083947501E-2</v>
      </c>
      <c r="G1722" s="1207">
        <v>2.58568167682082E-2</v>
      </c>
    </row>
    <row r="1723" spans="1:7" x14ac:dyDescent="0.25">
      <c r="A1723" s="6" t="s">
        <v>1193</v>
      </c>
      <c r="B1723" s="6"/>
      <c r="C1723" s="1200">
        <v>2</v>
      </c>
      <c r="D1723" s="1200">
        <v>477.99868602266702</v>
      </c>
      <c r="E1723" s="1201">
        <v>455.36884565439698</v>
      </c>
      <c r="F1723" s="1202">
        <v>1.9832691048018401E-2</v>
      </c>
      <c r="G1723" s="1203">
        <v>1.8921674396072799E-2</v>
      </c>
    </row>
    <row r="1724" spans="1:7" x14ac:dyDescent="0.25">
      <c r="A1724" s="11" t="s">
        <v>6468</v>
      </c>
      <c r="B1724" s="11"/>
      <c r="C1724" s="1204">
        <v>1</v>
      </c>
      <c r="D1724" s="1204">
        <v>272.09699449910602</v>
      </c>
      <c r="E1724" s="1205">
        <v>281.21489080777599</v>
      </c>
      <c r="F1724" s="1206">
        <v>1.1289603475477399E-2</v>
      </c>
      <c r="G1724" s="1207">
        <v>1.1646526254684099E-2</v>
      </c>
    </row>
    <row r="1725" spans="1:7" x14ac:dyDescent="0.25">
      <c r="A1725" s="6" t="s">
        <v>3208</v>
      </c>
      <c r="B1725" s="6"/>
      <c r="C1725" s="1200">
        <v>3</v>
      </c>
      <c r="D1725" s="1200">
        <v>247.93996451906699</v>
      </c>
      <c r="E1725" s="1201">
        <v>228.35719178958701</v>
      </c>
      <c r="F1725" s="1202">
        <v>1.02873017406791E-2</v>
      </c>
      <c r="G1725" s="1203">
        <v>9.3904525104995303E-3</v>
      </c>
    </row>
    <row r="1726" spans="1:7" x14ac:dyDescent="0.25">
      <c r="A1726" s="11" t="s">
        <v>1189</v>
      </c>
      <c r="B1726" s="11"/>
      <c r="C1726" s="1204">
        <v>2</v>
      </c>
      <c r="D1726" s="1204">
        <v>191.43621285097001</v>
      </c>
      <c r="E1726" s="1205">
        <v>147.326952358254</v>
      </c>
      <c r="F1726" s="1206">
        <v>7.9428989574585399E-3</v>
      </c>
      <c r="G1726" s="1207">
        <v>6.1141256759492E-3</v>
      </c>
    </row>
    <row r="1727" spans="1:7" x14ac:dyDescent="0.25">
      <c r="A1727" s="6" t="s">
        <v>6469</v>
      </c>
      <c r="B1727" s="6"/>
      <c r="C1727" s="1200">
        <v>1</v>
      </c>
      <c r="D1727" s="1200">
        <v>130.45608742288101</v>
      </c>
      <c r="E1727" s="1201">
        <v>156.36306548749599</v>
      </c>
      <c r="F1727" s="1202">
        <v>5.4127665051125103E-3</v>
      </c>
      <c r="G1727" s="1203">
        <v>6.5000379973761601E-3</v>
      </c>
    </row>
    <row r="1728" spans="1:7" x14ac:dyDescent="0.25">
      <c r="A1728" s="11" t="s">
        <v>3199</v>
      </c>
      <c r="B1728" s="11"/>
      <c r="C1728" s="1204">
        <v>1</v>
      </c>
      <c r="D1728" s="1204">
        <v>96.847899662346194</v>
      </c>
      <c r="E1728" s="1205">
        <v>103.418110961434</v>
      </c>
      <c r="F1728" s="1206">
        <v>4.0183258423470199E-3</v>
      </c>
      <c r="G1728" s="1207">
        <v>4.28062136406756E-3</v>
      </c>
    </row>
    <row r="1729" spans="1:7" x14ac:dyDescent="0.25">
      <c r="A1729" s="6" t="s">
        <v>3089</v>
      </c>
      <c r="B1729" s="6"/>
      <c r="C1729" s="1200">
        <v>1</v>
      </c>
      <c r="D1729" s="1200">
        <v>85.112717394657906</v>
      </c>
      <c r="E1729" s="1201">
        <v>84.700111484403607</v>
      </c>
      <c r="F1729" s="1202">
        <v>3.5314202270955801E-3</v>
      </c>
      <c r="G1729" s="1203">
        <v>3.5227093891639998E-3</v>
      </c>
    </row>
    <row r="1730" spans="1:7" x14ac:dyDescent="0.25">
      <c r="A1730" s="11" t="s">
        <v>6470</v>
      </c>
      <c r="B1730" s="11"/>
      <c r="C1730" s="1204">
        <v>1</v>
      </c>
      <c r="D1730" s="1204">
        <v>63.408874983724502</v>
      </c>
      <c r="E1730" s="1205">
        <v>65.773582407695201</v>
      </c>
      <c r="F1730" s="1206">
        <v>2.6309039418468201E-3</v>
      </c>
      <c r="G1730" s="1207">
        <v>2.7259340180013402E-3</v>
      </c>
    </row>
    <row r="1731" spans="1:7" x14ac:dyDescent="0.25">
      <c r="A1731" s="6" t="s">
        <v>982</v>
      </c>
      <c r="B1731" s="6" t="s">
        <v>983</v>
      </c>
      <c r="C1731" s="1200">
        <v>4318</v>
      </c>
      <c r="D1731" s="1200">
        <v>4415579.92171604</v>
      </c>
      <c r="E1731" s="1201">
        <v>74707.542957643207</v>
      </c>
      <c r="F1731" s="1202">
        <v>99.947268748971496</v>
      </c>
      <c r="G1731" s="1203">
        <v>3.48928829539428E-2</v>
      </c>
    </row>
    <row r="1732" spans="1:7" x14ac:dyDescent="0.25">
      <c r="A1732" s="11" t="s">
        <v>978</v>
      </c>
      <c r="B1732" s="11" t="s">
        <v>979</v>
      </c>
      <c r="C1732" s="1204">
        <v>2</v>
      </c>
      <c r="D1732" s="1204">
        <v>1610.03491751157</v>
      </c>
      <c r="E1732" s="1205">
        <v>1705.9261820168299</v>
      </c>
      <c r="F1732" s="1206">
        <v>3.6443365412627098E-2</v>
      </c>
      <c r="G1732" s="1207">
        <v>3.8613142046384399E-2</v>
      </c>
    </row>
    <row r="1733" spans="1:7" x14ac:dyDescent="0.25">
      <c r="A1733" s="6" t="s">
        <v>980</v>
      </c>
      <c r="B1733" s="6" t="s">
        <v>981</v>
      </c>
      <c r="C1733" s="1200">
        <v>1</v>
      </c>
      <c r="D1733" s="1200">
        <v>719.58405259818198</v>
      </c>
      <c r="E1733" s="1201">
        <v>739.35664326911797</v>
      </c>
      <c r="F1733" s="1202">
        <v>1.6287885615838601E-2</v>
      </c>
      <c r="G1733" s="1203">
        <v>1.67489202376844E-2</v>
      </c>
    </row>
    <row r="1734" spans="1:7" x14ac:dyDescent="0.25">
      <c r="A1734" s="11" t="s">
        <v>6293</v>
      </c>
      <c r="B1734" s="11" t="s">
        <v>6294</v>
      </c>
      <c r="C1734" s="1204">
        <v>1752</v>
      </c>
      <c r="D1734" s="1204">
        <v>2410155.4593138602</v>
      </c>
      <c r="E1734" s="1205">
        <v>75342.472387397793</v>
      </c>
      <c r="F1734" s="1206">
        <v>35.297781425833698</v>
      </c>
      <c r="G1734" s="1207">
        <v>1.1034234792345801</v>
      </c>
    </row>
    <row r="1735" spans="1:7" x14ac:dyDescent="0.25">
      <c r="A1735" s="6" t="s">
        <v>6293</v>
      </c>
      <c r="B1735" s="6" t="s">
        <v>6295</v>
      </c>
      <c r="C1735" s="1200">
        <v>6073</v>
      </c>
      <c r="D1735" s="1200">
        <v>6828065</v>
      </c>
      <c r="E1735" s="1201">
        <v>0</v>
      </c>
      <c r="F1735" s="1202">
        <v>100</v>
      </c>
      <c r="G1735" s="1203">
        <v>0</v>
      </c>
    </row>
    <row r="1736" spans="1:7" x14ac:dyDescent="0.25">
      <c r="A1736" s="3353" t="s">
        <v>414</v>
      </c>
      <c r="B1736" s="3354"/>
      <c r="C1736" s="3354"/>
      <c r="D1736" s="3354"/>
      <c r="E1736" s="3354"/>
      <c r="F1736" s="3354"/>
      <c r="G1736" s="3354"/>
    </row>
    <row r="1737" spans="1:7" x14ac:dyDescent="0.25">
      <c r="A1737" s="11" t="s">
        <v>1177</v>
      </c>
      <c r="B1737" s="11"/>
      <c r="C1737" s="1212">
        <v>171</v>
      </c>
      <c r="D1737" s="1212">
        <v>335847.52056906599</v>
      </c>
      <c r="E1737" s="1213">
        <v>58567.6195085992</v>
      </c>
      <c r="F1737" s="1214">
        <v>15.4992439342838</v>
      </c>
      <c r="G1737" s="1215">
        <v>2.5264583797572802</v>
      </c>
    </row>
    <row r="1738" spans="1:7" x14ac:dyDescent="0.25">
      <c r="A1738" s="6" t="s">
        <v>1027</v>
      </c>
      <c r="B1738" s="6"/>
      <c r="C1738" s="1208">
        <v>254</v>
      </c>
      <c r="D1738" s="1208">
        <v>304686.370385608</v>
      </c>
      <c r="E1738" s="1209">
        <v>38616.424275027603</v>
      </c>
      <c r="F1738" s="1210">
        <v>14.0611679075562</v>
      </c>
      <c r="G1738" s="1211">
        <v>1.6050994961662099</v>
      </c>
    </row>
    <row r="1739" spans="1:7" x14ac:dyDescent="0.25">
      <c r="A1739" s="11" t="s">
        <v>1017</v>
      </c>
      <c r="B1739" s="11"/>
      <c r="C1739" s="1212">
        <v>229</v>
      </c>
      <c r="D1739" s="1212">
        <v>260841.58039814699</v>
      </c>
      <c r="E1739" s="1213">
        <v>36115.724002190298</v>
      </c>
      <c r="F1739" s="1214">
        <v>12.0377464033223</v>
      </c>
      <c r="G1739" s="1215">
        <v>1.6501276250108701</v>
      </c>
    </row>
    <row r="1740" spans="1:7" x14ac:dyDescent="0.25">
      <c r="A1740" s="6" t="s">
        <v>1179</v>
      </c>
      <c r="B1740" s="6"/>
      <c r="C1740" s="1208">
        <v>96</v>
      </c>
      <c r="D1740" s="1208">
        <v>190116.413255705</v>
      </c>
      <c r="E1740" s="1209">
        <v>38127.024651745</v>
      </c>
      <c r="F1740" s="1210">
        <v>8.7738050290453202</v>
      </c>
      <c r="G1740" s="1211">
        <v>1.6976303260180501</v>
      </c>
    </row>
    <row r="1741" spans="1:7" x14ac:dyDescent="0.25">
      <c r="A1741" s="11" t="s">
        <v>3054</v>
      </c>
      <c r="B1741" s="11"/>
      <c r="C1741" s="1212">
        <v>92</v>
      </c>
      <c r="D1741" s="1212">
        <v>132762.320313251</v>
      </c>
      <c r="E1741" s="1213">
        <v>23926.205426273598</v>
      </c>
      <c r="F1741" s="1214">
        <v>6.1269339857860903</v>
      </c>
      <c r="G1741" s="1215">
        <v>1.16319383737347</v>
      </c>
    </row>
    <row r="1742" spans="1:7" x14ac:dyDescent="0.25">
      <c r="A1742" s="6" t="s">
        <v>6299</v>
      </c>
      <c r="B1742" s="6"/>
      <c r="C1742" s="1208">
        <v>139</v>
      </c>
      <c r="D1742" s="1208">
        <v>131052.399027326</v>
      </c>
      <c r="E1742" s="1209">
        <v>31280.007488704701</v>
      </c>
      <c r="F1742" s="1210">
        <v>6.0480217250253796</v>
      </c>
      <c r="G1742" s="1211">
        <v>1.40299620189435</v>
      </c>
    </row>
    <row r="1743" spans="1:7" x14ac:dyDescent="0.25">
      <c r="A1743" s="11" t="s">
        <v>6303</v>
      </c>
      <c r="B1743" s="11"/>
      <c r="C1743" s="1212">
        <v>77</v>
      </c>
      <c r="D1743" s="1212">
        <v>92756.175046854099</v>
      </c>
      <c r="E1743" s="1213">
        <v>25764.942622963699</v>
      </c>
      <c r="F1743" s="1214">
        <v>4.2806645736920697</v>
      </c>
      <c r="G1743" s="1215">
        <v>1.1285213424127101</v>
      </c>
    </row>
    <row r="1744" spans="1:7" x14ac:dyDescent="0.25">
      <c r="A1744" s="6" t="s">
        <v>1021</v>
      </c>
      <c r="B1744" s="6"/>
      <c r="C1744" s="1208">
        <v>67</v>
      </c>
      <c r="D1744" s="1208">
        <v>85851.263983623197</v>
      </c>
      <c r="E1744" s="1209">
        <v>21621.083906698201</v>
      </c>
      <c r="F1744" s="1210">
        <v>3.9620053776014901</v>
      </c>
      <c r="G1744" s="1211">
        <v>0.97551944625591702</v>
      </c>
    </row>
    <row r="1745" spans="1:7" x14ac:dyDescent="0.25">
      <c r="A1745" s="11" t="s">
        <v>6302</v>
      </c>
      <c r="B1745" s="11"/>
      <c r="C1745" s="1212">
        <v>59</v>
      </c>
      <c r="D1745" s="1212">
        <v>68670.995596866793</v>
      </c>
      <c r="E1745" s="1213">
        <v>27826.015067524</v>
      </c>
      <c r="F1745" s="1214">
        <v>3.1691420861542001</v>
      </c>
      <c r="G1745" s="1215">
        <v>1.3033192362906201</v>
      </c>
    </row>
    <row r="1746" spans="1:7" x14ac:dyDescent="0.25">
      <c r="A1746" s="6" t="s">
        <v>3069</v>
      </c>
      <c r="B1746" s="6"/>
      <c r="C1746" s="1208">
        <v>38</v>
      </c>
      <c r="D1746" s="1208">
        <v>62852.609548812099</v>
      </c>
      <c r="E1746" s="1209">
        <v>20677.086063409301</v>
      </c>
      <c r="F1746" s="1210">
        <v>2.9006256340754999</v>
      </c>
      <c r="G1746" s="1211">
        <v>0.92429323777200501</v>
      </c>
    </row>
    <row r="1747" spans="1:7" x14ac:dyDescent="0.25">
      <c r="A1747" s="11" t="s">
        <v>1181</v>
      </c>
      <c r="B1747" s="11"/>
      <c r="C1747" s="1212">
        <v>37</v>
      </c>
      <c r="D1747" s="1212">
        <v>60773.658487422399</v>
      </c>
      <c r="E1747" s="1213">
        <v>20801.518784669101</v>
      </c>
      <c r="F1747" s="1214">
        <v>2.8046827800883198</v>
      </c>
      <c r="G1747" s="1215">
        <v>0.98822491961960401</v>
      </c>
    </row>
    <row r="1748" spans="1:7" x14ac:dyDescent="0.25">
      <c r="A1748" s="6" t="s">
        <v>6298</v>
      </c>
      <c r="B1748" s="6"/>
      <c r="C1748" s="1208">
        <v>31</v>
      </c>
      <c r="D1748" s="1208">
        <v>53465.880177253501</v>
      </c>
      <c r="E1748" s="1209">
        <v>15200.5177357927</v>
      </c>
      <c r="F1748" s="1210">
        <v>2.4674314034664002</v>
      </c>
      <c r="G1748" s="1211">
        <v>0.68883590619620105</v>
      </c>
    </row>
    <row r="1749" spans="1:7" x14ac:dyDescent="0.25">
      <c r="A1749" s="11" t="s">
        <v>1033</v>
      </c>
      <c r="B1749" s="11"/>
      <c r="C1749" s="1212">
        <v>26</v>
      </c>
      <c r="D1749" s="1212">
        <v>49143.154656706902</v>
      </c>
      <c r="E1749" s="1213">
        <v>14617.7348971873</v>
      </c>
      <c r="F1749" s="1214">
        <v>2.2679391541552198</v>
      </c>
      <c r="G1749" s="1215">
        <v>0.66053666383310805</v>
      </c>
    </row>
    <row r="1750" spans="1:7" x14ac:dyDescent="0.25">
      <c r="A1750" s="6" t="s">
        <v>3083</v>
      </c>
      <c r="B1750" s="6"/>
      <c r="C1750" s="1208">
        <v>32</v>
      </c>
      <c r="D1750" s="1208">
        <v>43246.1845329262</v>
      </c>
      <c r="E1750" s="1209">
        <v>12191.6708101903</v>
      </c>
      <c r="F1750" s="1210">
        <v>1.99579607485901</v>
      </c>
      <c r="G1750" s="1211">
        <v>0.57006546488873899</v>
      </c>
    </row>
    <row r="1751" spans="1:7" x14ac:dyDescent="0.25">
      <c r="A1751" s="11" t="s">
        <v>6297</v>
      </c>
      <c r="B1751" s="11"/>
      <c r="C1751" s="1212">
        <v>41</v>
      </c>
      <c r="D1751" s="1212">
        <v>38293.749592001397</v>
      </c>
      <c r="E1751" s="1213">
        <v>17449.827897380201</v>
      </c>
      <c r="F1751" s="1214">
        <v>1.76724295918318</v>
      </c>
      <c r="G1751" s="1215">
        <v>0.78957832549949902</v>
      </c>
    </row>
    <row r="1752" spans="1:7" x14ac:dyDescent="0.25">
      <c r="A1752" s="6" t="s">
        <v>1031</v>
      </c>
      <c r="B1752" s="6"/>
      <c r="C1752" s="1208">
        <v>12</v>
      </c>
      <c r="D1752" s="1208">
        <v>26648.485284546099</v>
      </c>
      <c r="E1752" s="1209">
        <v>11227.318400534101</v>
      </c>
      <c r="F1752" s="1210">
        <v>1.2298181424847301</v>
      </c>
      <c r="G1752" s="1211">
        <v>0.51313002002542296</v>
      </c>
    </row>
    <row r="1753" spans="1:7" x14ac:dyDescent="0.25">
      <c r="A1753" s="11" t="s">
        <v>6300</v>
      </c>
      <c r="B1753" s="11"/>
      <c r="C1753" s="1212">
        <v>32</v>
      </c>
      <c r="D1753" s="1212">
        <v>25774.681306070099</v>
      </c>
      <c r="E1753" s="1213">
        <v>9857.2660497341403</v>
      </c>
      <c r="F1753" s="1214">
        <v>1.1894923988550099</v>
      </c>
      <c r="G1753" s="1215">
        <v>0.449080843621117</v>
      </c>
    </row>
    <row r="1754" spans="1:7" x14ac:dyDescent="0.25">
      <c r="A1754" s="6" t="s">
        <v>1025</v>
      </c>
      <c r="B1754" s="6"/>
      <c r="C1754" s="1208">
        <v>11</v>
      </c>
      <c r="D1754" s="1208">
        <v>24251.983202208201</v>
      </c>
      <c r="E1754" s="1209">
        <v>13970.469074283899</v>
      </c>
      <c r="F1754" s="1210">
        <v>1.11922042153018</v>
      </c>
      <c r="G1754" s="1211">
        <v>0.64526937004028495</v>
      </c>
    </row>
    <row r="1755" spans="1:7" x14ac:dyDescent="0.25">
      <c r="A1755" s="11" t="s">
        <v>1073</v>
      </c>
      <c r="B1755" s="11"/>
      <c r="C1755" s="1212">
        <v>8</v>
      </c>
      <c r="D1755" s="1212">
        <v>24229.870295516601</v>
      </c>
      <c r="E1755" s="1213">
        <v>12904.069926203199</v>
      </c>
      <c r="F1755" s="1214">
        <v>1.1181999187308</v>
      </c>
      <c r="G1755" s="1215">
        <v>0.59672406944549805</v>
      </c>
    </row>
    <row r="1756" spans="1:7" x14ac:dyDescent="0.25">
      <c r="A1756" s="6" t="s">
        <v>1029</v>
      </c>
      <c r="B1756" s="6"/>
      <c r="C1756" s="1208">
        <v>11</v>
      </c>
      <c r="D1756" s="1208">
        <v>23251.9878685322</v>
      </c>
      <c r="E1756" s="1209">
        <v>14528.329634781599</v>
      </c>
      <c r="F1756" s="1210">
        <v>1.0730709916236401</v>
      </c>
      <c r="G1756" s="1211">
        <v>0.68219213106014298</v>
      </c>
    </row>
    <row r="1757" spans="1:7" x14ac:dyDescent="0.25">
      <c r="A1757" s="11" t="s">
        <v>6301</v>
      </c>
      <c r="B1757" s="11"/>
      <c r="C1757" s="1212">
        <v>23</v>
      </c>
      <c r="D1757" s="1212">
        <v>19356.600255059799</v>
      </c>
      <c r="E1757" s="1213">
        <v>8435.0257981209706</v>
      </c>
      <c r="F1757" s="1214">
        <v>0.89330023512826395</v>
      </c>
      <c r="G1757" s="1215">
        <v>0.390951120620324</v>
      </c>
    </row>
    <row r="1758" spans="1:7" x14ac:dyDescent="0.25">
      <c r="A1758" s="6" t="s">
        <v>1185</v>
      </c>
      <c r="B1758" s="6"/>
      <c r="C1758" s="1208">
        <v>21</v>
      </c>
      <c r="D1758" s="1208">
        <v>17638.4461501734</v>
      </c>
      <c r="E1758" s="1209">
        <v>9330.94539475897</v>
      </c>
      <c r="F1758" s="1210">
        <v>0.81400803269305699</v>
      </c>
      <c r="G1758" s="1211">
        <v>0.42952300936795601</v>
      </c>
    </row>
    <row r="1759" spans="1:7" x14ac:dyDescent="0.25">
      <c r="A1759" s="11" t="s">
        <v>1019</v>
      </c>
      <c r="B1759" s="11"/>
      <c r="C1759" s="1212">
        <v>11</v>
      </c>
      <c r="D1759" s="1212">
        <v>13476.9801989432</v>
      </c>
      <c r="E1759" s="1213">
        <v>9493.3602684097696</v>
      </c>
      <c r="F1759" s="1214">
        <v>0.62195785529992098</v>
      </c>
      <c r="G1759" s="1215">
        <v>0.44007652504890699</v>
      </c>
    </row>
    <row r="1760" spans="1:7" x14ac:dyDescent="0.25">
      <c r="A1760" s="6" t="s">
        <v>6304</v>
      </c>
      <c r="B1760" s="6"/>
      <c r="C1760" s="1208">
        <v>13</v>
      </c>
      <c r="D1760" s="1208">
        <v>12970.7654578291</v>
      </c>
      <c r="E1760" s="1209">
        <v>8714.9592891032098</v>
      </c>
      <c r="F1760" s="1210">
        <v>0.59859622457427697</v>
      </c>
      <c r="G1760" s="1211">
        <v>0.40784943201507401</v>
      </c>
    </row>
    <row r="1761" spans="1:7" x14ac:dyDescent="0.25">
      <c r="A1761" s="11" t="s">
        <v>1023</v>
      </c>
      <c r="B1761" s="11"/>
      <c r="C1761" s="1212">
        <v>17</v>
      </c>
      <c r="D1761" s="1212">
        <v>10307.797887360401</v>
      </c>
      <c r="E1761" s="1213">
        <v>6489.6978673878102</v>
      </c>
      <c r="F1761" s="1214">
        <v>0.47570121586959702</v>
      </c>
      <c r="G1761" s="1215">
        <v>0.297830027135915</v>
      </c>
    </row>
    <row r="1762" spans="1:7" x14ac:dyDescent="0.25">
      <c r="A1762" s="6" t="s">
        <v>1191</v>
      </c>
      <c r="B1762" s="6"/>
      <c r="C1762" s="1208">
        <v>7</v>
      </c>
      <c r="D1762" s="1208">
        <v>10277.2099620095</v>
      </c>
      <c r="E1762" s="1209">
        <v>9722.1570950590103</v>
      </c>
      <c r="F1762" s="1210">
        <v>0.47428959396554299</v>
      </c>
      <c r="G1762" s="1211">
        <v>0.44837806988185602</v>
      </c>
    </row>
    <row r="1763" spans="1:7" x14ac:dyDescent="0.25">
      <c r="A1763" s="11" t="s">
        <v>1075</v>
      </c>
      <c r="B1763" s="11"/>
      <c r="C1763" s="1212">
        <v>1</v>
      </c>
      <c r="D1763" s="1212">
        <v>9560.2131785626698</v>
      </c>
      <c r="E1763" s="1213">
        <v>9587.6978579388106</v>
      </c>
      <c r="F1763" s="1214">
        <v>0.44120044675996201</v>
      </c>
      <c r="G1763" s="1215">
        <v>0.44261594446272801</v>
      </c>
    </row>
    <row r="1764" spans="1:7" x14ac:dyDescent="0.25">
      <c r="A1764" s="6" t="s">
        <v>1183</v>
      </c>
      <c r="B1764" s="6"/>
      <c r="C1764" s="1208">
        <v>11</v>
      </c>
      <c r="D1764" s="1208">
        <v>6652.5444052525199</v>
      </c>
      <c r="E1764" s="1209">
        <v>6240.2386841006</v>
      </c>
      <c r="F1764" s="1210">
        <v>0.30701256435049201</v>
      </c>
      <c r="G1764" s="1211">
        <v>0.28920117432664799</v>
      </c>
    </row>
    <row r="1765" spans="1:7" x14ac:dyDescent="0.25">
      <c r="A1765" s="11" t="s">
        <v>1071</v>
      </c>
      <c r="B1765" s="11"/>
      <c r="C1765" s="1212">
        <v>6</v>
      </c>
      <c r="D1765" s="1212">
        <v>5724.6064493369904</v>
      </c>
      <c r="E1765" s="1213">
        <v>3130.30369629402</v>
      </c>
      <c r="F1765" s="1214">
        <v>0.26418855686565001</v>
      </c>
      <c r="G1765" s="1215">
        <v>0.14487058065674999</v>
      </c>
    </row>
    <row r="1766" spans="1:7" x14ac:dyDescent="0.25">
      <c r="A1766" s="6" t="s">
        <v>1069</v>
      </c>
      <c r="B1766" s="6"/>
      <c r="C1766" s="1208">
        <v>3</v>
      </c>
      <c r="D1766" s="1208">
        <v>3519.03111527076</v>
      </c>
      <c r="E1766" s="1209">
        <v>2786.4941109292099</v>
      </c>
      <c r="F1766" s="1210">
        <v>0.162402037613673</v>
      </c>
      <c r="G1766" s="1211">
        <v>0.130220713737979</v>
      </c>
    </row>
    <row r="1767" spans="1:7" x14ac:dyDescent="0.25">
      <c r="A1767" s="11" t="s">
        <v>6467</v>
      </c>
      <c r="B1767" s="11"/>
      <c r="C1767" s="1212">
        <v>1</v>
      </c>
      <c r="D1767" s="1212">
        <v>3505.1690456388101</v>
      </c>
      <c r="E1767" s="1213">
        <v>3725.5733527224602</v>
      </c>
      <c r="F1767" s="1214">
        <v>0.16176230801764799</v>
      </c>
      <c r="G1767" s="1215">
        <v>0.17302902547398399</v>
      </c>
    </row>
    <row r="1768" spans="1:7" x14ac:dyDescent="0.25">
      <c r="A1768" s="6" t="s">
        <v>1099</v>
      </c>
      <c r="B1768" s="6"/>
      <c r="C1768" s="1208">
        <v>1</v>
      </c>
      <c r="D1768" s="1208">
        <v>2273.2178098783402</v>
      </c>
      <c r="E1768" s="1209">
        <v>2367.8299575103401</v>
      </c>
      <c r="F1768" s="1210">
        <v>0.104908195514926</v>
      </c>
      <c r="G1768" s="1211">
        <v>0.10907910365975999</v>
      </c>
    </row>
    <row r="1769" spans="1:7" x14ac:dyDescent="0.25">
      <c r="A1769" s="11" t="s">
        <v>3097</v>
      </c>
      <c r="B1769" s="11"/>
      <c r="C1769" s="1212">
        <v>4</v>
      </c>
      <c r="D1769" s="1212">
        <v>2052.8925542766601</v>
      </c>
      <c r="E1769" s="1213">
        <v>1806.66312289231</v>
      </c>
      <c r="F1769" s="1214">
        <v>9.4740263128027302E-2</v>
      </c>
      <c r="G1769" s="1215">
        <v>8.3165935723443399E-2</v>
      </c>
    </row>
    <row r="1770" spans="1:7" x14ac:dyDescent="0.25">
      <c r="A1770" s="6" t="s">
        <v>3073</v>
      </c>
      <c r="B1770" s="6"/>
      <c r="C1770" s="1208">
        <v>2</v>
      </c>
      <c r="D1770" s="1208">
        <v>1865.1007789764899</v>
      </c>
      <c r="E1770" s="1209">
        <v>1815.0526652032499</v>
      </c>
      <c r="F1770" s="1210">
        <v>8.6073739315977796E-2</v>
      </c>
      <c r="G1770" s="1211">
        <v>8.4523012911281906E-2</v>
      </c>
    </row>
    <row r="1771" spans="1:7" x14ac:dyDescent="0.25">
      <c r="A1771" s="11" t="s">
        <v>1089</v>
      </c>
      <c r="B1771" s="11"/>
      <c r="C1771" s="1212">
        <v>1</v>
      </c>
      <c r="D1771" s="1212">
        <v>1773.17731857841</v>
      </c>
      <c r="E1771" s="1213">
        <v>1947.8560537114799</v>
      </c>
      <c r="F1771" s="1214">
        <v>8.1831504227926094E-2</v>
      </c>
      <c r="G1771" s="1215">
        <v>9.0409651027318599E-2</v>
      </c>
    </row>
    <row r="1772" spans="1:7" x14ac:dyDescent="0.25">
      <c r="A1772" s="6" t="s">
        <v>1035</v>
      </c>
      <c r="B1772" s="6"/>
      <c r="C1772" s="1208">
        <v>5</v>
      </c>
      <c r="D1772" s="1208">
        <v>1743.5228004103899</v>
      </c>
      <c r="E1772" s="1209">
        <v>1218.4220064593401</v>
      </c>
      <c r="F1772" s="1210">
        <v>8.0462958734241904E-2</v>
      </c>
      <c r="G1772" s="1211">
        <v>5.5630113743794299E-2</v>
      </c>
    </row>
    <row r="1773" spans="1:7" x14ac:dyDescent="0.25">
      <c r="A1773" s="11" t="s">
        <v>3105</v>
      </c>
      <c r="B1773" s="11"/>
      <c r="C1773" s="1212">
        <v>3</v>
      </c>
      <c r="D1773" s="1212">
        <v>1736.26989825181</v>
      </c>
      <c r="E1773" s="1213">
        <v>986.74978905847797</v>
      </c>
      <c r="F1773" s="1214">
        <v>8.0128239872548801E-2</v>
      </c>
      <c r="G1773" s="1215">
        <v>4.5119937311315403E-2</v>
      </c>
    </row>
    <row r="1774" spans="1:7" x14ac:dyDescent="0.25">
      <c r="A1774" s="6" t="s">
        <v>3060</v>
      </c>
      <c r="B1774" s="6"/>
      <c r="C1774" s="1208">
        <v>2</v>
      </c>
      <c r="D1774" s="1208">
        <v>1544.4540561199101</v>
      </c>
      <c r="E1774" s="1209">
        <v>1455.6100882082301</v>
      </c>
      <c r="F1774" s="1210">
        <v>7.1276006803729697E-2</v>
      </c>
      <c r="G1774" s="1211">
        <v>6.7813659493165895E-2</v>
      </c>
    </row>
    <row r="1775" spans="1:7" x14ac:dyDescent="0.25">
      <c r="A1775" s="11" t="s">
        <v>1081</v>
      </c>
      <c r="B1775" s="11"/>
      <c r="C1775" s="1212">
        <v>1</v>
      </c>
      <c r="D1775" s="1212">
        <v>1421.8551462145899</v>
      </c>
      <c r="E1775" s="1213">
        <v>1524.0108023676801</v>
      </c>
      <c r="F1775" s="1214">
        <v>6.5618110602858201E-2</v>
      </c>
      <c r="G1775" s="1215">
        <v>6.9825237157507603E-2</v>
      </c>
    </row>
    <row r="1776" spans="1:7" x14ac:dyDescent="0.25">
      <c r="A1776" s="6" t="s">
        <v>3208</v>
      </c>
      <c r="B1776" s="6"/>
      <c r="C1776" s="1208">
        <v>1</v>
      </c>
      <c r="D1776" s="1208">
        <v>1012.43686158952</v>
      </c>
      <c r="E1776" s="1209">
        <v>1041.0620759977701</v>
      </c>
      <c r="F1776" s="1210">
        <v>4.67236020061957E-2</v>
      </c>
      <c r="G1776" s="1211">
        <v>4.8016574698145999E-2</v>
      </c>
    </row>
    <row r="1777" spans="1:7" x14ac:dyDescent="0.25">
      <c r="A1777" s="11" t="s">
        <v>1174</v>
      </c>
      <c r="B1777" s="11"/>
      <c r="C1777" s="1212">
        <v>8</v>
      </c>
      <c r="D1777" s="1212">
        <v>912.69244896555301</v>
      </c>
      <c r="E1777" s="1213">
        <v>329.90875495645003</v>
      </c>
      <c r="F1777" s="1214">
        <v>4.2120432747357099E-2</v>
      </c>
      <c r="G1777" s="1215">
        <v>1.45001342015613E-2</v>
      </c>
    </row>
    <row r="1778" spans="1:7" x14ac:dyDescent="0.25">
      <c r="A1778" s="6" t="s">
        <v>3199</v>
      </c>
      <c r="B1778" s="6"/>
      <c r="C1778" s="1208">
        <v>1</v>
      </c>
      <c r="D1778" s="1208">
        <v>849.16828799037205</v>
      </c>
      <c r="E1778" s="1209">
        <v>847.14185529981296</v>
      </c>
      <c r="F1778" s="1210">
        <v>3.9188815253183601E-2</v>
      </c>
      <c r="G1778" s="1211">
        <v>3.9025321729700399E-2</v>
      </c>
    </row>
    <row r="1779" spans="1:7" x14ac:dyDescent="0.25">
      <c r="A1779" s="11" t="s">
        <v>6296</v>
      </c>
      <c r="B1779" s="11"/>
      <c r="C1779" s="1212">
        <v>5</v>
      </c>
      <c r="D1779" s="1212">
        <v>563.99384289235297</v>
      </c>
      <c r="E1779" s="1213">
        <v>424.71517627678901</v>
      </c>
      <c r="F1779" s="1214">
        <v>2.6028115775906201E-2</v>
      </c>
      <c r="G1779" s="1215">
        <v>1.97807256954694E-2</v>
      </c>
    </row>
    <row r="1780" spans="1:7" x14ac:dyDescent="0.25">
      <c r="A1780" s="6" t="s">
        <v>6471</v>
      </c>
      <c r="B1780" s="6"/>
      <c r="C1780" s="1208">
        <v>3</v>
      </c>
      <c r="D1780" s="1208">
        <v>402.55308192198697</v>
      </c>
      <c r="E1780" s="1209">
        <v>320.70943519335799</v>
      </c>
      <c r="F1780" s="1210">
        <v>1.85776819273064E-2</v>
      </c>
      <c r="G1780" s="1211">
        <v>1.4687770369502201E-2</v>
      </c>
    </row>
    <row r="1781" spans="1:7" x14ac:dyDescent="0.25">
      <c r="A1781" s="11" t="s">
        <v>1187</v>
      </c>
      <c r="B1781" s="11"/>
      <c r="C1781" s="1212">
        <v>4</v>
      </c>
      <c r="D1781" s="1212">
        <v>371.84948969886699</v>
      </c>
      <c r="E1781" s="1213">
        <v>220.76818266982099</v>
      </c>
      <c r="F1781" s="1214">
        <v>1.71607220381324E-2</v>
      </c>
      <c r="G1781" s="1215">
        <v>9.9434274388505405E-3</v>
      </c>
    </row>
    <row r="1782" spans="1:7" x14ac:dyDescent="0.25">
      <c r="A1782" s="6" t="s">
        <v>6472</v>
      </c>
      <c r="B1782" s="6"/>
      <c r="C1782" s="1208">
        <v>2</v>
      </c>
      <c r="D1782" s="1208">
        <v>241.818818779303</v>
      </c>
      <c r="E1782" s="1209">
        <v>186.422580018697</v>
      </c>
      <c r="F1782" s="1210">
        <v>1.1159852702828E-2</v>
      </c>
      <c r="G1782" s="1211">
        <v>8.6060202520893293E-3</v>
      </c>
    </row>
    <row r="1783" spans="1:7" x14ac:dyDescent="0.25">
      <c r="A1783" s="11" t="s">
        <v>4322</v>
      </c>
      <c r="B1783" s="11"/>
      <c r="C1783" s="1212">
        <v>1</v>
      </c>
      <c r="D1783" s="1212">
        <v>182.047916060299</v>
      </c>
      <c r="E1783" s="1213">
        <v>183.54677632953599</v>
      </c>
      <c r="F1783" s="1214">
        <v>8.4014467457303697E-3</v>
      </c>
      <c r="G1783" s="1215">
        <v>8.4519928344631099E-3</v>
      </c>
    </row>
    <row r="1784" spans="1:7" x14ac:dyDescent="0.25">
      <c r="A1784" s="6" t="s">
        <v>3229</v>
      </c>
      <c r="B1784" s="6"/>
      <c r="C1784" s="1208">
        <v>1</v>
      </c>
      <c r="D1784" s="1208">
        <v>135.26085787438299</v>
      </c>
      <c r="E1784" s="1209">
        <v>139.186862223573</v>
      </c>
      <c r="F1784" s="1210">
        <v>6.2422406078904598E-3</v>
      </c>
      <c r="G1784" s="1211">
        <v>6.3656230279890398E-3</v>
      </c>
    </row>
    <row r="1785" spans="1:7" x14ac:dyDescent="0.25">
      <c r="A1785" s="11" t="s">
        <v>3099</v>
      </c>
      <c r="B1785" s="11"/>
      <c r="C1785" s="1212">
        <v>1</v>
      </c>
      <c r="D1785" s="1212">
        <v>96.847899662346194</v>
      </c>
      <c r="E1785" s="1213">
        <v>103.418110961434</v>
      </c>
      <c r="F1785" s="1214">
        <v>4.46949621318122E-3</v>
      </c>
      <c r="G1785" s="1215">
        <v>4.7356648976276802E-3</v>
      </c>
    </row>
    <row r="1786" spans="1:7" x14ac:dyDescent="0.25">
      <c r="A1786" s="6" t="s">
        <v>6465</v>
      </c>
      <c r="B1786" s="6"/>
      <c r="C1786" s="1208">
        <v>1</v>
      </c>
      <c r="D1786" s="1208">
        <v>94.057053851258502</v>
      </c>
      <c r="E1786" s="1209">
        <v>104.47105529118301</v>
      </c>
      <c r="F1786" s="1210">
        <v>4.3406996690360496E-3</v>
      </c>
      <c r="G1786" s="1211">
        <v>4.8233719946158401E-3</v>
      </c>
    </row>
    <row r="1787" spans="1:7" x14ac:dyDescent="0.25">
      <c r="A1787" s="11" t="s">
        <v>1193</v>
      </c>
      <c r="B1787" s="11"/>
      <c r="C1787" s="1212">
        <v>1</v>
      </c>
      <c r="D1787" s="1212">
        <v>52.1656732119975</v>
      </c>
      <c r="E1787" s="1213">
        <v>53.017466769116602</v>
      </c>
      <c r="F1787" s="1214">
        <v>2.4074273132607799E-3</v>
      </c>
      <c r="G1787" s="1215">
        <v>2.4467870027505699E-3</v>
      </c>
    </row>
    <row r="1788" spans="1:7" x14ac:dyDescent="0.25">
      <c r="A1788" s="6" t="s">
        <v>1079</v>
      </c>
      <c r="B1788" s="6"/>
      <c r="C1788" s="1208">
        <v>1</v>
      </c>
      <c r="D1788" s="1208">
        <v>31.863216601291601</v>
      </c>
      <c r="E1788" s="1209">
        <v>33.681440648568902</v>
      </c>
      <c r="F1788" s="1210">
        <v>1.47047614285656E-3</v>
      </c>
      <c r="G1788" s="1211">
        <v>1.55446258587267E-3</v>
      </c>
    </row>
    <row r="1789" spans="1:7" x14ac:dyDescent="0.25">
      <c r="A1789" s="11" t="s">
        <v>982</v>
      </c>
      <c r="B1789" s="11" t="s">
        <v>983</v>
      </c>
      <c r="C1789" s="1212">
        <v>4448</v>
      </c>
      <c r="D1789" s="1212">
        <v>4659112.2517521903</v>
      </c>
      <c r="E1789" s="1213">
        <v>93219.416735541599</v>
      </c>
      <c r="F1789" s="1214">
        <v>99.955186340293395</v>
      </c>
      <c r="G1789" s="1215">
        <v>3.5739296823592198E-2</v>
      </c>
    </row>
    <row r="1790" spans="1:7" x14ac:dyDescent="0.25">
      <c r="A1790" s="6" t="s">
        <v>978</v>
      </c>
      <c r="B1790" s="6" t="s">
        <v>1047</v>
      </c>
      <c r="C1790" s="1208">
        <v>3</v>
      </c>
      <c r="D1790" s="1208">
        <v>1741.23536999768</v>
      </c>
      <c r="E1790" s="1209">
        <v>1768.2143974973801</v>
      </c>
      <c r="F1790" s="1210">
        <v>3.7355937454602701E-2</v>
      </c>
      <c r="G1790" s="1211">
        <v>3.7866268116490499E-2</v>
      </c>
    </row>
    <row r="1791" spans="1:7" x14ac:dyDescent="0.25">
      <c r="A1791" s="11" t="s">
        <v>996</v>
      </c>
      <c r="B1791" s="11" t="s">
        <v>997</v>
      </c>
      <c r="C1791" s="1212">
        <v>1</v>
      </c>
      <c r="D1791" s="1212">
        <v>347.61943213372098</v>
      </c>
      <c r="E1791" s="1213">
        <v>376.21895602066598</v>
      </c>
      <c r="F1791" s="1214">
        <v>7.4577222519946196E-3</v>
      </c>
      <c r="G1791" s="1215">
        <v>8.1076147318040592E-3</v>
      </c>
    </row>
    <row r="1792" spans="1:7" x14ac:dyDescent="0.25">
      <c r="A1792" s="6" t="s">
        <v>6293</v>
      </c>
      <c r="B1792" s="6" t="s">
        <v>6294</v>
      </c>
      <c r="C1792" s="1208">
        <v>1626</v>
      </c>
      <c r="D1792" s="1208">
        <v>2166863.8934456902</v>
      </c>
      <c r="E1792" s="1209">
        <v>94148.377806344302</v>
      </c>
      <c r="F1792" s="1210">
        <v>31.734669975251901</v>
      </c>
      <c r="G1792" s="1211">
        <v>1.3788441938725899</v>
      </c>
    </row>
    <row r="1793" spans="1:7" x14ac:dyDescent="0.25">
      <c r="A1793" s="11" t="s">
        <v>6293</v>
      </c>
      <c r="B1793" s="11" t="s">
        <v>6295</v>
      </c>
      <c r="C1793" s="1212">
        <v>6078</v>
      </c>
      <c r="D1793" s="1212">
        <v>6828065.0000000102</v>
      </c>
      <c r="E1793" s="1213">
        <v>0</v>
      </c>
      <c r="F1793" s="1214">
        <v>100</v>
      </c>
      <c r="G1793" s="1215">
        <v>0</v>
      </c>
    </row>
    <row r="1794" spans="1:7" x14ac:dyDescent="0.25">
      <c r="A1794" s="3353" t="s">
        <v>520</v>
      </c>
      <c r="B1794" s="3354"/>
      <c r="C1794" s="3354"/>
      <c r="D1794" s="3354"/>
      <c r="E1794" s="3354"/>
      <c r="F1794" s="3354"/>
      <c r="G1794" s="3354"/>
    </row>
    <row r="1795" spans="1:7" x14ac:dyDescent="0.25">
      <c r="A1795" s="11" t="s">
        <v>1174</v>
      </c>
      <c r="B1795" s="11"/>
      <c r="C1795" s="1220">
        <v>8</v>
      </c>
      <c r="D1795" s="1220">
        <v>29211.483406839401</v>
      </c>
      <c r="E1795" s="1221">
        <v>12184.540418798701</v>
      </c>
      <c r="F1795" s="1222">
        <v>26.668414081641899</v>
      </c>
      <c r="G1795" s="1223">
        <v>15.877810561448101</v>
      </c>
    </row>
    <row r="1796" spans="1:7" x14ac:dyDescent="0.25">
      <c r="A1796" s="6" t="s">
        <v>1179</v>
      </c>
      <c r="B1796" s="6"/>
      <c r="C1796" s="1216">
        <v>4</v>
      </c>
      <c r="D1796" s="1216">
        <v>19328.422963823999</v>
      </c>
      <c r="E1796" s="1217">
        <v>10149.0084531988</v>
      </c>
      <c r="F1796" s="1218">
        <v>17.6457449957399</v>
      </c>
      <c r="G1796" s="1219">
        <v>11.5000489349781</v>
      </c>
    </row>
    <row r="1797" spans="1:7" x14ac:dyDescent="0.25">
      <c r="A1797" s="11" t="s">
        <v>6300</v>
      </c>
      <c r="B1797" s="11"/>
      <c r="C1797" s="1220">
        <v>2</v>
      </c>
      <c r="D1797" s="1220">
        <v>18654.212225204199</v>
      </c>
      <c r="E1797" s="1221">
        <v>18785.119134856399</v>
      </c>
      <c r="F1797" s="1222">
        <v>17.030229141738701</v>
      </c>
      <c r="G1797" s="1223">
        <v>16.571429427813399</v>
      </c>
    </row>
    <row r="1798" spans="1:7" x14ac:dyDescent="0.25">
      <c r="A1798" s="6" t="s">
        <v>6301</v>
      </c>
      <c r="B1798" s="6"/>
      <c r="C1798" s="1216">
        <v>1</v>
      </c>
      <c r="D1798" s="1216">
        <v>9578.01842934868</v>
      </c>
      <c r="E1798" s="1217">
        <v>9575.3714224549403</v>
      </c>
      <c r="F1798" s="1218">
        <v>8.7441831692690606</v>
      </c>
      <c r="G1798" s="1219">
        <v>8.7345681540613107</v>
      </c>
    </row>
    <row r="1799" spans="1:7" x14ac:dyDescent="0.25">
      <c r="A1799" s="11" t="s">
        <v>1021</v>
      </c>
      <c r="B1799" s="11"/>
      <c r="C1799" s="1220">
        <v>1</v>
      </c>
      <c r="D1799" s="1220">
        <v>9552.4368318513698</v>
      </c>
      <c r="E1799" s="1221">
        <v>9458.2791202319095</v>
      </c>
      <c r="F1799" s="1222">
        <v>8.7208286334713794</v>
      </c>
      <c r="G1799" s="1223">
        <v>9.1620510577307801</v>
      </c>
    </row>
    <row r="1800" spans="1:7" x14ac:dyDescent="0.25">
      <c r="A1800" s="6" t="s">
        <v>1183</v>
      </c>
      <c r="B1800" s="6"/>
      <c r="C1800" s="1216">
        <v>1</v>
      </c>
      <c r="D1800" s="1216">
        <v>7496.43228425297</v>
      </c>
      <c r="E1800" s="1217">
        <v>7760.8561341343902</v>
      </c>
      <c r="F1800" s="1218">
        <v>6.8438140407699697</v>
      </c>
      <c r="G1800" s="1219">
        <v>7.4671310468377703</v>
      </c>
    </row>
    <row r="1801" spans="1:7" x14ac:dyDescent="0.25">
      <c r="A1801" s="11" t="s">
        <v>3054</v>
      </c>
      <c r="B1801" s="11"/>
      <c r="C1801" s="1220">
        <v>1</v>
      </c>
      <c r="D1801" s="1220">
        <v>5196.7951964973799</v>
      </c>
      <c r="E1801" s="1221">
        <v>5410.0785201921199</v>
      </c>
      <c r="F1801" s="1222">
        <v>4.74437686944822</v>
      </c>
      <c r="G1801" s="1223">
        <v>5.1835846361532596</v>
      </c>
    </row>
    <row r="1802" spans="1:7" x14ac:dyDescent="0.25">
      <c r="A1802" s="6" t="s">
        <v>1027</v>
      </c>
      <c r="B1802" s="6"/>
      <c r="C1802" s="1216">
        <v>3</v>
      </c>
      <c r="D1802" s="1216">
        <v>3778.5241949903102</v>
      </c>
      <c r="E1802" s="1217">
        <v>3331.9250292142601</v>
      </c>
      <c r="F1802" s="1218">
        <v>3.4495765396806601</v>
      </c>
      <c r="G1802" s="1219">
        <v>2.9581283597453099</v>
      </c>
    </row>
    <row r="1803" spans="1:7" x14ac:dyDescent="0.25">
      <c r="A1803" s="11" t="s">
        <v>1017</v>
      </c>
      <c r="B1803" s="11"/>
      <c r="C1803" s="1220">
        <v>3</v>
      </c>
      <c r="D1803" s="1220">
        <v>3488.6236834002698</v>
      </c>
      <c r="E1803" s="1221">
        <v>3083.3908982800599</v>
      </c>
      <c r="F1803" s="1222">
        <v>3.1849139486753399</v>
      </c>
      <c r="G1803" s="1223">
        <v>2.77721490773677</v>
      </c>
    </row>
    <row r="1804" spans="1:7" x14ac:dyDescent="0.25">
      <c r="A1804" s="6" t="s">
        <v>6299</v>
      </c>
      <c r="B1804" s="6"/>
      <c r="C1804" s="1216">
        <v>3</v>
      </c>
      <c r="D1804" s="1216">
        <v>2468.0210213160699</v>
      </c>
      <c r="E1804" s="1217">
        <v>2586.6681520750099</v>
      </c>
      <c r="F1804" s="1218">
        <v>2.2531620747217298</v>
      </c>
      <c r="G1804" s="1219">
        <v>2.50324905647952</v>
      </c>
    </row>
    <row r="1805" spans="1:7" x14ac:dyDescent="0.25">
      <c r="A1805" s="11" t="s">
        <v>1185</v>
      </c>
      <c r="B1805" s="11"/>
      <c r="C1805" s="1220">
        <v>1</v>
      </c>
      <c r="D1805" s="1220">
        <v>697.80214650540995</v>
      </c>
      <c r="E1805" s="1221">
        <v>760.08932143514801</v>
      </c>
      <c r="F1805" s="1222">
        <v>0.63705346047944</v>
      </c>
      <c r="G1805" s="1223">
        <v>0.80701090109736395</v>
      </c>
    </row>
    <row r="1806" spans="1:7" x14ac:dyDescent="0.25">
      <c r="A1806" s="6" t="s">
        <v>3087</v>
      </c>
      <c r="B1806" s="6"/>
      <c r="C1806" s="1216">
        <v>1</v>
      </c>
      <c r="D1806" s="1216">
        <v>85.112717394657906</v>
      </c>
      <c r="E1806" s="1217">
        <v>84.700111484403607</v>
      </c>
      <c r="F1806" s="1218">
        <v>7.7703044363815296E-2</v>
      </c>
      <c r="G1806" s="1219">
        <v>8.4876112345601495E-2</v>
      </c>
    </row>
    <row r="1807" spans="1:7" x14ac:dyDescent="0.25">
      <c r="A1807" s="11" t="s">
        <v>982</v>
      </c>
      <c r="B1807" s="11" t="s">
        <v>983</v>
      </c>
      <c r="C1807" s="1220">
        <v>6050</v>
      </c>
      <c r="D1807" s="1220">
        <v>6716483.3806651104</v>
      </c>
      <c r="E1807" s="1221">
        <v>30007.970808937898</v>
      </c>
      <c r="F1807" s="1222">
        <v>99.969550861527907</v>
      </c>
      <c r="G1807" s="1223">
        <v>3.2152750842901499E-2</v>
      </c>
    </row>
    <row r="1808" spans="1:7" x14ac:dyDescent="0.25">
      <c r="A1808" s="6" t="s">
        <v>996</v>
      </c>
      <c r="B1808" s="6" t="s">
        <v>997</v>
      </c>
      <c r="C1808" s="1216">
        <v>1</v>
      </c>
      <c r="D1808" s="1216">
        <v>2045.73423348039</v>
      </c>
      <c r="E1808" s="1217">
        <v>2161.19326149777</v>
      </c>
      <c r="F1808" s="1218">
        <v>3.04491384720488E-2</v>
      </c>
      <c r="G1808" s="1219">
        <v>3.2152750842897197E-2</v>
      </c>
    </row>
    <row r="1809" spans="1:7" x14ac:dyDescent="0.25">
      <c r="A1809" s="11" t="s">
        <v>6293</v>
      </c>
      <c r="B1809" s="11" t="s">
        <v>6294</v>
      </c>
      <c r="C1809" s="1220">
        <v>29</v>
      </c>
      <c r="D1809" s="1220">
        <v>109535.885101425</v>
      </c>
      <c r="E1809" s="1221">
        <v>30448.270817073299</v>
      </c>
      <c r="F1809" s="1222">
        <v>1.6042009720385599</v>
      </c>
      <c r="G1809" s="1223">
        <v>0.44592825078661802</v>
      </c>
    </row>
    <row r="1810" spans="1:7" x14ac:dyDescent="0.25">
      <c r="A1810" s="6" t="s">
        <v>6293</v>
      </c>
      <c r="B1810" s="6" t="s">
        <v>6295</v>
      </c>
      <c r="C1810" s="1216">
        <v>6080</v>
      </c>
      <c r="D1810" s="1216">
        <v>6828065.0000000196</v>
      </c>
      <c r="E1810" s="1217">
        <v>0</v>
      </c>
      <c r="F1810" s="1218">
        <v>100</v>
      </c>
      <c r="G1810" s="1219">
        <v>0</v>
      </c>
    </row>
    <row r="1811" spans="1:7" x14ac:dyDescent="0.25">
      <c r="A1811" s="3353" t="s">
        <v>945</v>
      </c>
      <c r="B1811" s="3354"/>
      <c r="C1811" s="3354"/>
      <c r="D1811" s="3354"/>
      <c r="E1811" s="3354"/>
      <c r="F1811" s="3354"/>
      <c r="G1811" s="3354"/>
    </row>
    <row r="1812" spans="1:7" x14ac:dyDescent="0.25">
      <c r="A1812" s="11" t="s">
        <v>982</v>
      </c>
      <c r="B1812" s="11" t="s">
        <v>983</v>
      </c>
      <c r="C1812" s="1228">
        <v>3940</v>
      </c>
      <c r="D1812" s="1228">
        <v>3921370.4157522102</v>
      </c>
      <c r="E1812" s="1229">
        <v>66252.325852430906</v>
      </c>
      <c r="F1812" s="1230">
        <v>98.619168754652193</v>
      </c>
      <c r="G1812" s="1231">
        <v>0.49190285875241702</v>
      </c>
    </row>
    <row r="1813" spans="1:7" x14ac:dyDescent="0.25">
      <c r="A1813" s="6" t="s">
        <v>978</v>
      </c>
      <c r="B1813" s="6" t="s">
        <v>1047</v>
      </c>
      <c r="C1813" s="1224">
        <v>29</v>
      </c>
      <c r="D1813" s="1224">
        <v>47014.354827725001</v>
      </c>
      <c r="E1813" s="1225">
        <v>18210.414943479402</v>
      </c>
      <c r="F1813" s="1226">
        <v>1.18237149288972</v>
      </c>
      <c r="G1813" s="1227">
        <v>0.45751089138382101</v>
      </c>
    </row>
    <row r="1814" spans="1:7" x14ac:dyDescent="0.25">
      <c r="A1814" s="11" t="s">
        <v>996</v>
      </c>
      <c r="B1814" s="11" t="s">
        <v>997</v>
      </c>
      <c r="C1814" s="1228">
        <v>5</v>
      </c>
      <c r="D1814" s="1228">
        <v>5257.7124810681598</v>
      </c>
      <c r="E1814" s="1229">
        <v>3735.3220485152601</v>
      </c>
      <c r="F1814" s="1230">
        <v>0.13222704806233901</v>
      </c>
      <c r="G1814" s="1231">
        <v>9.3567912125474495E-2</v>
      </c>
    </row>
    <row r="1815" spans="1:7" x14ac:dyDescent="0.25">
      <c r="A1815" s="6" t="s">
        <v>980</v>
      </c>
      <c r="B1815" s="6" t="s">
        <v>1041</v>
      </c>
      <c r="C1815" s="1224">
        <v>11</v>
      </c>
      <c r="D1815" s="1224">
        <v>2633.5951808588602</v>
      </c>
      <c r="E1815" s="1225">
        <v>1275.22122495956</v>
      </c>
      <c r="F1815" s="1226">
        <v>6.6232704395699907E-2</v>
      </c>
      <c r="G1815" s="1227">
        <v>3.1643145474613402E-2</v>
      </c>
    </row>
    <row r="1816" spans="1:7" x14ac:dyDescent="0.25">
      <c r="A1816" s="11" t="s">
        <v>6293</v>
      </c>
      <c r="B1816" s="11" t="s">
        <v>6294</v>
      </c>
      <c r="C1816" s="1228">
        <v>2083</v>
      </c>
      <c r="D1816" s="1228">
        <v>2851788.92175814</v>
      </c>
      <c r="E1816" s="1229">
        <v>63827.578664970999</v>
      </c>
      <c r="F1816" s="1230">
        <v>41.765696749491099</v>
      </c>
      <c r="G1816" s="1231">
        <v>0.93478282156029502</v>
      </c>
    </row>
    <row r="1817" spans="1:7" x14ac:dyDescent="0.25">
      <c r="A1817" s="6" t="s">
        <v>6293</v>
      </c>
      <c r="B1817" s="6" t="s">
        <v>6295</v>
      </c>
      <c r="C1817" s="1224">
        <v>6068</v>
      </c>
      <c r="D1817" s="1224">
        <v>6828065</v>
      </c>
      <c r="E1817" s="1225">
        <v>0</v>
      </c>
      <c r="F1817" s="1226">
        <v>100</v>
      </c>
      <c r="G1817" s="1227">
        <v>0</v>
      </c>
    </row>
    <row r="1818" spans="1:7" x14ac:dyDescent="0.25">
      <c r="A1818" s="3353" t="s">
        <v>941</v>
      </c>
      <c r="B1818" s="3354"/>
      <c r="C1818" s="3354"/>
      <c r="D1818" s="3354"/>
      <c r="E1818" s="3354"/>
      <c r="F1818" s="3354"/>
      <c r="G1818" s="3354"/>
    </row>
    <row r="1819" spans="1:7" x14ac:dyDescent="0.25">
      <c r="A1819" s="11" t="s">
        <v>1013</v>
      </c>
      <c r="B1819" s="11"/>
      <c r="C1819" s="1236">
        <v>532</v>
      </c>
      <c r="D1819" s="1236">
        <v>717119.72884452704</v>
      </c>
      <c r="E1819" s="1237">
        <v>62813.114574311498</v>
      </c>
      <c r="F1819" s="1238">
        <v>25.1463116141997</v>
      </c>
      <c r="G1819" s="1239">
        <v>2.0947214914320198</v>
      </c>
    </row>
    <row r="1820" spans="1:7" x14ac:dyDescent="0.25">
      <c r="A1820" s="6" t="s">
        <v>1003</v>
      </c>
      <c r="B1820" s="6"/>
      <c r="C1820" s="1232">
        <v>526</v>
      </c>
      <c r="D1820" s="1232">
        <v>669450.033121877</v>
      </c>
      <c r="E1820" s="1233">
        <v>75183.527147466593</v>
      </c>
      <c r="F1820" s="1234">
        <v>23.4747399435565</v>
      </c>
      <c r="G1820" s="1235">
        <v>2.5864743228957399</v>
      </c>
    </row>
    <row r="1821" spans="1:7" x14ac:dyDescent="0.25">
      <c r="A1821" s="11" t="s">
        <v>994</v>
      </c>
      <c r="B1821" s="11"/>
      <c r="C1821" s="1236">
        <v>297</v>
      </c>
      <c r="D1821" s="1236">
        <v>425867.04982995999</v>
      </c>
      <c r="E1821" s="1237">
        <v>49043.356679886499</v>
      </c>
      <c r="F1821" s="1238">
        <v>14.9333299733632</v>
      </c>
      <c r="G1821" s="1239">
        <v>1.5732127379449701</v>
      </c>
    </row>
    <row r="1822" spans="1:7" x14ac:dyDescent="0.25">
      <c r="A1822" s="6" t="s">
        <v>1015</v>
      </c>
      <c r="B1822" s="6"/>
      <c r="C1822" s="1232">
        <v>276</v>
      </c>
      <c r="D1822" s="1232">
        <v>336217.025847852</v>
      </c>
      <c r="E1822" s="1233">
        <v>17216.936470504199</v>
      </c>
      <c r="F1822" s="1234">
        <v>11.7896883350179</v>
      </c>
      <c r="G1822" s="1235">
        <v>0.72221835697766401</v>
      </c>
    </row>
    <row r="1823" spans="1:7" x14ac:dyDescent="0.25">
      <c r="A1823" s="11" t="s">
        <v>992</v>
      </c>
      <c r="B1823" s="11"/>
      <c r="C1823" s="1236">
        <v>142</v>
      </c>
      <c r="D1823" s="1236">
        <v>233062.91245242901</v>
      </c>
      <c r="E1823" s="1237">
        <v>46273.236225405097</v>
      </c>
      <c r="F1823" s="1238">
        <v>8.1725162291725599</v>
      </c>
      <c r="G1823" s="1239">
        <v>1.5737336085706699</v>
      </c>
    </row>
    <row r="1824" spans="1:7" x14ac:dyDescent="0.25">
      <c r="A1824" s="6" t="s">
        <v>1017</v>
      </c>
      <c r="B1824" s="6"/>
      <c r="C1824" s="1232">
        <v>108</v>
      </c>
      <c r="D1824" s="1232">
        <v>201927.48593569701</v>
      </c>
      <c r="E1824" s="1233">
        <v>44714.805419752098</v>
      </c>
      <c r="F1824" s="1234">
        <v>7.0807304283659196</v>
      </c>
      <c r="G1824" s="1235">
        <v>1.5814716123172201</v>
      </c>
    </row>
    <row r="1825" spans="1:7" x14ac:dyDescent="0.25">
      <c r="A1825" s="11" t="s">
        <v>990</v>
      </c>
      <c r="B1825" s="11"/>
      <c r="C1825" s="1236">
        <v>63</v>
      </c>
      <c r="D1825" s="1236">
        <v>88578.648005038704</v>
      </c>
      <c r="E1825" s="1237">
        <v>28248.4465792132</v>
      </c>
      <c r="F1825" s="1238">
        <v>3.1060730802765599</v>
      </c>
      <c r="G1825" s="1239">
        <v>1.0003862413971301</v>
      </c>
    </row>
    <row r="1826" spans="1:7" x14ac:dyDescent="0.25">
      <c r="A1826" s="6" t="s">
        <v>984</v>
      </c>
      <c r="B1826" s="6"/>
      <c r="C1826" s="1232">
        <v>34</v>
      </c>
      <c r="D1826" s="1232">
        <v>41281.301153635002</v>
      </c>
      <c r="E1826" s="1233">
        <v>13448.784265431101</v>
      </c>
      <c r="F1826" s="1234">
        <v>1.4475580867389299</v>
      </c>
      <c r="G1826" s="1235">
        <v>0.46535411147427902</v>
      </c>
    </row>
    <row r="1827" spans="1:7" x14ac:dyDescent="0.25">
      <c r="A1827" s="11" t="s">
        <v>1021</v>
      </c>
      <c r="B1827" s="11"/>
      <c r="C1827" s="1236">
        <v>34</v>
      </c>
      <c r="D1827" s="1236">
        <v>40802.288677875302</v>
      </c>
      <c r="E1827" s="1237">
        <v>15044.680793396499</v>
      </c>
      <c r="F1827" s="1238">
        <v>1.4307611747338</v>
      </c>
      <c r="G1827" s="1239">
        <v>0.53454143126702802</v>
      </c>
    </row>
    <row r="1828" spans="1:7" x14ac:dyDescent="0.25">
      <c r="A1828" s="6" t="s">
        <v>988</v>
      </c>
      <c r="B1828" s="6"/>
      <c r="C1828" s="1232">
        <v>30</v>
      </c>
      <c r="D1828" s="1232">
        <v>37513.890082989303</v>
      </c>
      <c r="E1828" s="1233">
        <v>11889.1764475615</v>
      </c>
      <c r="F1828" s="1234">
        <v>1.3154511470597099</v>
      </c>
      <c r="G1828" s="1235">
        <v>0.407633743390382</v>
      </c>
    </row>
    <row r="1829" spans="1:7" x14ac:dyDescent="0.25">
      <c r="A1829" s="11" t="s">
        <v>986</v>
      </c>
      <c r="B1829" s="11"/>
      <c r="C1829" s="1236">
        <v>29</v>
      </c>
      <c r="D1829" s="1236">
        <v>33650.937339897799</v>
      </c>
      <c r="E1829" s="1237">
        <v>13940.574148986099</v>
      </c>
      <c r="F1829" s="1238">
        <v>1.17999397091254</v>
      </c>
      <c r="G1829" s="1239">
        <v>0.49533080029014398</v>
      </c>
    </row>
    <row r="1830" spans="1:7" x14ac:dyDescent="0.25">
      <c r="A1830" s="6" t="s">
        <v>1019</v>
      </c>
      <c r="B1830" s="6"/>
      <c r="C1830" s="1232">
        <v>25</v>
      </c>
      <c r="D1830" s="1232">
        <v>26317.620466361801</v>
      </c>
      <c r="E1830" s="1233">
        <v>11888.0289056408</v>
      </c>
      <c r="F1830" s="1234">
        <v>0.92284601660269105</v>
      </c>
      <c r="G1830" s="1235">
        <v>0.42705134784794901</v>
      </c>
    </row>
    <row r="1831" spans="1:7" x14ac:dyDescent="0.25">
      <c r="A1831" s="11" t="s">
        <v>982</v>
      </c>
      <c r="B1831" s="11" t="s">
        <v>983</v>
      </c>
      <c r="C1831" s="1236">
        <v>3941</v>
      </c>
      <c r="D1831" s="1236">
        <v>3921370.4157522102</v>
      </c>
      <c r="E1831" s="1237">
        <v>66252.325852430906</v>
      </c>
      <c r="F1831" s="1238">
        <v>98.619168754652193</v>
      </c>
      <c r="G1831" s="1239">
        <v>0.49190285875241702</v>
      </c>
    </row>
    <row r="1832" spans="1:7" x14ac:dyDescent="0.25">
      <c r="A1832" s="6" t="s">
        <v>996</v>
      </c>
      <c r="B1832" s="6" t="s">
        <v>997</v>
      </c>
      <c r="C1832" s="1232">
        <v>44</v>
      </c>
      <c r="D1832" s="1232">
        <v>54905.662489652001</v>
      </c>
      <c r="E1832" s="1233">
        <v>19612.696217879398</v>
      </c>
      <c r="F1832" s="1234">
        <v>1.38083124534776</v>
      </c>
      <c r="G1832" s="1235">
        <v>0.49190285875241202</v>
      </c>
    </row>
    <row r="1833" spans="1:7" x14ac:dyDescent="0.25">
      <c r="A1833" s="11" t="s">
        <v>6293</v>
      </c>
      <c r="B1833" s="11" t="s">
        <v>6294</v>
      </c>
      <c r="C1833" s="1236">
        <v>2096</v>
      </c>
      <c r="D1833" s="1236">
        <v>2851788.92175814</v>
      </c>
      <c r="E1833" s="1237">
        <v>63827.578664970497</v>
      </c>
      <c r="F1833" s="1238">
        <v>41.765696749491099</v>
      </c>
      <c r="G1833" s="1239">
        <v>0.93478282156028603</v>
      </c>
    </row>
    <row r="1834" spans="1:7" x14ac:dyDescent="0.25">
      <c r="A1834" s="6" t="s">
        <v>6293</v>
      </c>
      <c r="B1834" s="6" t="s">
        <v>6295</v>
      </c>
      <c r="C1834" s="1232">
        <v>6081</v>
      </c>
      <c r="D1834" s="1232">
        <v>6828065</v>
      </c>
      <c r="E1834" s="1233">
        <v>0</v>
      </c>
      <c r="F1834" s="1234">
        <v>100</v>
      </c>
      <c r="G1834" s="1235">
        <v>0</v>
      </c>
    </row>
    <row r="1835" spans="1:7" x14ac:dyDescent="0.25">
      <c r="A1835" s="3353" t="s">
        <v>943</v>
      </c>
      <c r="B1835" s="3354"/>
      <c r="C1835" s="3354"/>
      <c r="D1835" s="3354"/>
      <c r="E1835" s="3354"/>
      <c r="F1835" s="3354"/>
      <c r="G1835" s="3354"/>
    </row>
    <row r="1836" spans="1:7" x14ac:dyDescent="0.25">
      <c r="A1836" s="11" t="s">
        <v>6473</v>
      </c>
      <c r="B1836" s="11"/>
      <c r="C1836" s="1244">
        <v>1090</v>
      </c>
      <c r="D1836" s="1244">
        <v>1451471.7988571301</v>
      </c>
      <c r="E1836" s="1245">
        <v>89167.902215006907</v>
      </c>
      <c r="F1836" s="1246">
        <v>50.896887486409398</v>
      </c>
      <c r="G1836" s="1247">
        <v>3.2589761300061202</v>
      </c>
    </row>
    <row r="1837" spans="1:7" x14ac:dyDescent="0.25">
      <c r="A1837" s="6" t="s">
        <v>1179</v>
      </c>
      <c r="B1837" s="6"/>
      <c r="C1837" s="1240">
        <v>455</v>
      </c>
      <c r="D1837" s="1240">
        <v>629400.872015025</v>
      </c>
      <c r="E1837" s="1241">
        <v>78078.467281909907</v>
      </c>
      <c r="F1837" s="1242">
        <v>22.070387720946599</v>
      </c>
      <c r="G1837" s="1243">
        <v>2.4619586817699499</v>
      </c>
    </row>
    <row r="1838" spans="1:7" x14ac:dyDescent="0.25">
      <c r="A1838" s="11" t="s">
        <v>3083</v>
      </c>
      <c r="B1838" s="11"/>
      <c r="C1838" s="1244">
        <v>163</v>
      </c>
      <c r="D1838" s="1244">
        <v>170070.600999032</v>
      </c>
      <c r="E1838" s="1245">
        <v>31559.750103751201</v>
      </c>
      <c r="F1838" s="1246">
        <v>5.9636461766666402</v>
      </c>
      <c r="G1838" s="1247">
        <v>1.0917800139817599</v>
      </c>
    </row>
    <row r="1839" spans="1:7" x14ac:dyDescent="0.25">
      <c r="A1839" s="6" t="s">
        <v>1027</v>
      </c>
      <c r="B1839" s="6"/>
      <c r="C1839" s="1240">
        <v>109</v>
      </c>
      <c r="D1839" s="1240">
        <v>153971.250995062</v>
      </c>
      <c r="E1839" s="1241">
        <v>23520.254425106799</v>
      </c>
      <c r="F1839" s="1242">
        <v>5.3991110569339904</v>
      </c>
      <c r="G1839" s="1243">
        <v>0.886059846483775</v>
      </c>
    </row>
    <row r="1840" spans="1:7" x14ac:dyDescent="0.25">
      <c r="A1840" s="11" t="s">
        <v>1183</v>
      </c>
      <c r="B1840" s="11"/>
      <c r="C1840" s="1244">
        <v>85</v>
      </c>
      <c r="D1840" s="1244">
        <v>132858.46362089799</v>
      </c>
      <c r="E1840" s="1245">
        <v>32443.404291598301</v>
      </c>
      <c r="F1840" s="1246">
        <v>4.6587762020967096</v>
      </c>
      <c r="G1840" s="1247">
        <v>1.14994577708846</v>
      </c>
    </row>
    <row r="1841" spans="1:7" x14ac:dyDescent="0.25">
      <c r="A1841" s="6" t="s">
        <v>3097</v>
      </c>
      <c r="B1841" s="6"/>
      <c r="C1841" s="1240">
        <v>54</v>
      </c>
      <c r="D1841" s="1240">
        <v>93289.129420696801</v>
      </c>
      <c r="E1841" s="1241">
        <v>21273.565430101899</v>
      </c>
      <c r="F1841" s="1242">
        <v>3.2712494500884599</v>
      </c>
      <c r="G1841" s="1243">
        <v>0.77011918313375705</v>
      </c>
    </row>
    <row r="1842" spans="1:7" x14ac:dyDescent="0.25">
      <c r="A1842" s="11" t="s">
        <v>1181</v>
      </c>
      <c r="B1842" s="11"/>
      <c r="C1842" s="1244">
        <v>25</v>
      </c>
      <c r="D1842" s="1244">
        <v>66540.867356482398</v>
      </c>
      <c r="E1842" s="1245">
        <v>18364.3702038433</v>
      </c>
      <c r="F1842" s="1246">
        <v>2.3333026806016099</v>
      </c>
      <c r="G1842" s="1247">
        <v>0.61841323695251904</v>
      </c>
    </row>
    <row r="1843" spans="1:7" x14ac:dyDescent="0.25">
      <c r="A1843" s="6" t="s">
        <v>3054</v>
      </c>
      <c r="B1843" s="6"/>
      <c r="C1843" s="1240">
        <v>26</v>
      </c>
      <c r="D1843" s="1240">
        <v>40412.821485354303</v>
      </c>
      <c r="E1843" s="1241">
        <v>18675.089381411199</v>
      </c>
      <c r="F1843" s="1242">
        <v>1.41710423155861</v>
      </c>
      <c r="G1843" s="1243">
        <v>0.65692706543936896</v>
      </c>
    </row>
    <row r="1844" spans="1:7" x14ac:dyDescent="0.25">
      <c r="A1844" s="11" t="s">
        <v>1177</v>
      </c>
      <c r="B1844" s="11"/>
      <c r="C1844" s="1244">
        <v>29</v>
      </c>
      <c r="D1844" s="1244">
        <v>37302.413521566799</v>
      </c>
      <c r="E1844" s="1245">
        <v>12392.547551417299</v>
      </c>
      <c r="F1844" s="1246">
        <v>1.30803557153065</v>
      </c>
      <c r="G1844" s="1247">
        <v>0.43830809403562798</v>
      </c>
    </row>
    <row r="1845" spans="1:7" x14ac:dyDescent="0.25">
      <c r="A1845" s="6" t="s">
        <v>1017</v>
      </c>
      <c r="B1845" s="6"/>
      <c r="C1845" s="1240">
        <v>13</v>
      </c>
      <c r="D1845" s="1240">
        <v>25777.383846713401</v>
      </c>
      <c r="E1845" s="1241">
        <v>11998.9692516699</v>
      </c>
      <c r="F1845" s="1242">
        <v>0.903902236594058</v>
      </c>
      <c r="G1845" s="1243">
        <v>0.41680865485879898</v>
      </c>
    </row>
    <row r="1846" spans="1:7" x14ac:dyDescent="0.25">
      <c r="A1846" s="11" t="s">
        <v>3069</v>
      </c>
      <c r="B1846" s="11"/>
      <c r="C1846" s="1244">
        <v>11</v>
      </c>
      <c r="D1846" s="1244">
        <v>14747.7419967811</v>
      </c>
      <c r="E1846" s="1245">
        <v>8051.34331545024</v>
      </c>
      <c r="F1846" s="1246">
        <v>0.51714002688842198</v>
      </c>
      <c r="G1846" s="1247">
        <v>0.27941392277780502</v>
      </c>
    </row>
    <row r="1847" spans="1:7" x14ac:dyDescent="0.25">
      <c r="A1847" s="6" t="s">
        <v>992</v>
      </c>
      <c r="B1847" s="6"/>
      <c r="C1847" s="1240">
        <v>10</v>
      </c>
      <c r="D1847" s="1240">
        <v>10345.214901920301</v>
      </c>
      <c r="E1847" s="1241">
        <v>8703.7749857283397</v>
      </c>
      <c r="F1847" s="1242">
        <v>0.36276229362524098</v>
      </c>
      <c r="G1847" s="1243">
        <v>0.305979987820299</v>
      </c>
    </row>
    <row r="1848" spans="1:7" x14ac:dyDescent="0.25">
      <c r="A1848" s="11" t="s">
        <v>1093</v>
      </c>
      <c r="B1848" s="11"/>
      <c r="C1848" s="1244">
        <v>1</v>
      </c>
      <c r="D1848" s="1244">
        <v>9551.4148708444209</v>
      </c>
      <c r="E1848" s="1245">
        <v>9498.4388380995806</v>
      </c>
      <c r="F1848" s="1246">
        <v>0.33492713285932602</v>
      </c>
      <c r="G1848" s="1247">
        <v>0.333937927843728</v>
      </c>
    </row>
    <row r="1849" spans="1:7" x14ac:dyDescent="0.25">
      <c r="A1849" s="6" t="s">
        <v>3099</v>
      </c>
      <c r="B1849" s="6"/>
      <c r="C1849" s="1240">
        <v>3</v>
      </c>
      <c r="D1849" s="1240">
        <v>4794.9964748825896</v>
      </c>
      <c r="E1849" s="1241">
        <v>3291.1993621757601</v>
      </c>
      <c r="F1849" s="1242">
        <v>0.16813995027115999</v>
      </c>
      <c r="G1849" s="1243">
        <v>0.11734929049981201</v>
      </c>
    </row>
    <row r="1850" spans="1:7" x14ac:dyDescent="0.25">
      <c r="A1850" s="11" t="s">
        <v>3071</v>
      </c>
      <c r="B1850" s="11"/>
      <c r="C1850" s="1244">
        <v>1</v>
      </c>
      <c r="D1850" s="1244">
        <v>4523.1008852915502</v>
      </c>
      <c r="E1850" s="1245">
        <v>4587.1240381597299</v>
      </c>
      <c r="F1850" s="1246">
        <v>0.158605738692015</v>
      </c>
      <c r="G1850" s="1247">
        <v>0.16015815064383099</v>
      </c>
    </row>
    <row r="1851" spans="1:7" x14ac:dyDescent="0.25">
      <c r="A1851" s="6" t="s">
        <v>3062</v>
      </c>
      <c r="B1851" s="6"/>
      <c r="C1851" s="1240">
        <v>1</v>
      </c>
      <c r="D1851" s="1240">
        <v>1561.6241194412901</v>
      </c>
      <c r="E1851" s="1241">
        <v>1643.0464495061401</v>
      </c>
      <c r="F1851" s="1242">
        <v>5.47594566879284E-2</v>
      </c>
      <c r="G1851" s="1243">
        <v>5.7714908929351001E-2</v>
      </c>
    </row>
    <row r="1852" spans="1:7" x14ac:dyDescent="0.25">
      <c r="A1852" s="11" t="s">
        <v>3085</v>
      </c>
      <c r="B1852" s="11"/>
      <c r="C1852" s="1244">
        <v>1</v>
      </c>
      <c r="D1852" s="1244">
        <v>1238.1519062247901</v>
      </c>
      <c r="E1852" s="1245">
        <v>1297.64432151596</v>
      </c>
      <c r="F1852" s="1246">
        <v>4.3416674241846198E-2</v>
      </c>
      <c r="G1852" s="1247">
        <v>4.5679240197723903E-2</v>
      </c>
    </row>
    <row r="1853" spans="1:7" x14ac:dyDescent="0.25">
      <c r="A1853" s="6" t="s">
        <v>3199</v>
      </c>
      <c r="B1853" s="6"/>
      <c r="C1853" s="1240">
        <v>4</v>
      </c>
      <c r="D1853" s="1240">
        <v>1019.40158552488</v>
      </c>
      <c r="E1853" s="1241">
        <v>733.66413772016699</v>
      </c>
      <c r="F1853" s="1242">
        <v>3.57460391877958E-2</v>
      </c>
      <c r="G1853" s="1243">
        <v>2.5764311874411E-2</v>
      </c>
    </row>
    <row r="1854" spans="1:7" x14ac:dyDescent="0.25">
      <c r="A1854" s="11" t="s">
        <v>1095</v>
      </c>
      <c r="B1854" s="11"/>
      <c r="C1854" s="1244">
        <v>1</v>
      </c>
      <c r="D1854" s="1244">
        <v>922.66181990659095</v>
      </c>
      <c r="E1854" s="1245">
        <v>927.640192381568</v>
      </c>
      <c r="F1854" s="1246">
        <v>3.2353790733493898E-2</v>
      </c>
      <c r="G1854" s="1247">
        <v>3.2668608700380998E-2</v>
      </c>
    </row>
    <row r="1855" spans="1:7" x14ac:dyDescent="0.25">
      <c r="A1855" s="6" t="s">
        <v>3201</v>
      </c>
      <c r="B1855" s="6"/>
      <c r="C1855" s="1240">
        <v>2</v>
      </c>
      <c r="D1855" s="1240">
        <v>877.98822326673496</v>
      </c>
      <c r="E1855" s="1241">
        <v>864.03061852091503</v>
      </c>
      <c r="F1855" s="1242">
        <v>3.0787279400940101E-2</v>
      </c>
      <c r="G1855" s="1243">
        <v>3.0291143711614101E-2</v>
      </c>
    </row>
    <row r="1856" spans="1:7" x14ac:dyDescent="0.25">
      <c r="A1856" s="11" t="s">
        <v>3075</v>
      </c>
      <c r="B1856" s="11"/>
      <c r="C1856" s="1244">
        <v>3</v>
      </c>
      <c r="D1856" s="1244">
        <v>456.82362111197301</v>
      </c>
      <c r="E1856" s="1245">
        <v>248.68661986175499</v>
      </c>
      <c r="F1856" s="1246">
        <v>1.6018844088584901E-2</v>
      </c>
      <c r="G1856" s="1247">
        <v>8.5805196280686995E-3</v>
      </c>
    </row>
    <row r="1857" spans="1:7" x14ac:dyDescent="0.25">
      <c r="A1857" s="6" t="s">
        <v>1087</v>
      </c>
      <c r="B1857" s="6"/>
      <c r="C1857" s="1240">
        <v>1</v>
      </c>
      <c r="D1857" s="1240">
        <v>225.00410742882599</v>
      </c>
      <c r="E1857" s="1241">
        <v>241.023086643249</v>
      </c>
      <c r="F1857" s="1242">
        <v>7.8899285186264795E-3</v>
      </c>
      <c r="G1857" s="1243">
        <v>8.4200002459842195E-3</v>
      </c>
    </row>
    <row r="1858" spans="1:7" x14ac:dyDescent="0.25">
      <c r="A1858" s="11" t="s">
        <v>3089</v>
      </c>
      <c r="B1858" s="11"/>
      <c r="C1858" s="1244">
        <v>1</v>
      </c>
      <c r="D1858" s="1244">
        <v>120.78764490332701</v>
      </c>
      <c r="E1858" s="1245">
        <v>122.524588619193</v>
      </c>
      <c r="F1858" s="1246">
        <v>4.2355043875007704E-3</v>
      </c>
      <c r="G1858" s="1247">
        <v>4.3117190343535403E-3</v>
      </c>
    </row>
    <row r="1859" spans="1:7" x14ac:dyDescent="0.25">
      <c r="A1859" s="6" t="s">
        <v>3197</v>
      </c>
      <c r="B1859" s="6"/>
      <c r="C1859" s="1240">
        <v>1</v>
      </c>
      <c r="D1859" s="1240">
        <v>114.281769529361</v>
      </c>
      <c r="E1859" s="1241">
        <v>115.528996459453</v>
      </c>
      <c r="F1859" s="1242">
        <v>4.0073712558959598E-3</v>
      </c>
      <c r="G1859" s="1243">
        <v>4.0699026114142797E-3</v>
      </c>
    </row>
    <row r="1860" spans="1:7" x14ac:dyDescent="0.25">
      <c r="A1860" s="11" t="s">
        <v>986</v>
      </c>
      <c r="B1860" s="11"/>
      <c r="C1860" s="1244">
        <v>1</v>
      </c>
      <c r="D1860" s="1244">
        <v>99.587282978525195</v>
      </c>
      <c r="E1860" s="1245">
        <v>104.04663465994599</v>
      </c>
      <c r="F1860" s="1246">
        <v>3.49209866896913E-3</v>
      </c>
      <c r="G1860" s="1247">
        <v>3.6545083775103302E-3</v>
      </c>
    </row>
    <row r="1861" spans="1:7" x14ac:dyDescent="0.25">
      <c r="A1861" s="6" t="s">
        <v>3060</v>
      </c>
      <c r="B1861" s="6"/>
      <c r="C1861" s="1240">
        <v>1</v>
      </c>
      <c r="D1861" s="1240">
        <v>37.403031749582702</v>
      </c>
      <c r="E1861" s="1241">
        <v>40.076415456956603</v>
      </c>
      <c r="F1861" s="1242">
        <v>1.31156382101813E-3</v>
      </c>
      <c r="G1861" s="1243">
        <v>1.40557141025711E-3</v>
      </c>
    </row>
    <row r="1862" spans="1:7" x14ac:dyDescent="0.25">
      <c r="A1862" s="11" t="s">
        <v>990</v>
      </c>
      <c r="B1862" s="11"/>
      <c r="C1862" s="1244">
        <v>1</v>
      </c>
      <c r="D1862" s="1244">
        <v>31.863216601291601</v>
      </c>
      <c r="E1862" s="1245">
        <v>33.681440648568902</v>
      </c>
      <c r="F1862" s="1246">
        <v>1.1173062760075499E-3</v>
      </c>
      <c r="G1862" s="1247">
        <v>1.18528217559922E-3</v>
      </c>
    </row>
    <row r="1863" spans="1:7" x14ac:dyDescent="0.25">
      <c r="A1863" s="6" t="s">
        <v>1033</v>
      </c>
      <c r="B1863" s="6"/>
      <c r="C1863" s="1240">
        <v>1</v>
      </c>
      <c r="D1863" s="1240">
        <v>25.272181793981002</v>
      </c>
      <c r="E1863" s="1241">
        <v>26.3604709751672</v>
      </c>
      <c r="F1863" s="1242">
        <v>8.8618696850819505E-4</v>
      </c>
      <c r="G1863" s="1243">
        <v>9.2746091557730198E-4</v>
      </c>
    </row>
    <row r="1864" spans="1:7" x14ac:dyDescent="0.25">
      <c r="A1864" s="11" t="s">
        <v>982</v>
      </c>
      <c r="B1864" s="11" t="s">
        <v>983</v>
      </c>
      <c r="C1864" s="1244">
        <v>3941</v>
      </c>
      <c r="D1864" s="1244">
        <v>3921370.4157522102</v>
      </c>
      <c r="E1864" s="1245">
        <v>66252.325852430906</v>
      </c>
      <c r="F1864" s="1246">
        <v>98.619168754652193</v>
      </c>
      <c r="G1864" s="1247">
        <v>0.49190285875241702</v>
      </c>
    </row>
    <row r="1865" spans="1:7" x14ac:dyDescent="0.25">
      <c r="A1865" s="6" t="s">
        <v>996</v>
      </c>
      <c r="B1865" s="6" t="s">
        <v>997</v>
      </c>
      <c r="C1865" s="1240">
        <v>44</v>
      </c>
      <c r="D1865" s="1240">
        <v>54905.662489652001</v>
      </c>
      <c r="E1865" s="1241">
        <v>19612.696217879398</v>
      </c>
      <c r="F1865" s="1242">
        <v>1.38083124534776</v>
      </c>
      <c r="G1865" s="1243">
        <v>0.49190285875241202</v>
      </c>
    </row>
    <row r="1866" spans="1:7" x14ac:dyDescent="0.25">
      <c r="A1866" s="11" t="s">
        <v>6293</v>
      </c>
      <c r="B1866" s="11" t="s">
        <v>6294</v>
      </c>
      <c r="C1866" s="1244">
        <v>2094</v>
      </c>
      <c r="D1866" s="1244">
        <v>2851788.92175814</v>
      </c>
      <c r="E1866" s="1245">
        <v>63827.578664968198</v>
      </c>
      <c r="F1866" s="1246">
        <v>41.765696749491099</v>
      </c>
      <c r="G1866" s="1247">
        <v>0.93478282156026804</v>
      </c>
    </row>
    <row r="1867" spans="1:7" x14ac:dyDescent="0.25">
      <c r="A1867" s="6" t="s">
        <v>6293</v>
      </c>
      <c r="B1867" s="6" t="s">
        <v>6295</v>
      </c>
      <c r="C1867" s="1240">
        <v>6079</v>
      </c>
      <c r="D1867" s="1240">
        <v>6828065</v>
      </c>
      <c r="E1867" s="1241">
        <v>0</v>
      </c>
      <c r="F1867" s="1242">
        <v>100</v>
      </c>
      <c r="G1867" s="1243">
        <v>0</v>
      </c>
    </row>
    <row r="1868" spans="1:7" x14ac:dyDescent="0.25">
      <c r="A1868" s="3353" t="s">
        <v>934</v>
      </c>
      <c r="B1868" s="3354"/>
      <c r="C1868" s="3354"/>
      <c r="D1868" s="3354"/>
      <c r="E1868" s="3354"/>
      <c r="F1868" s="3354"/>
      <c r="G1868" s="3354"/>
    </row>
    <row r="1869" spans="1:7" x14ac:dyDescent="0.25">
      <c r="A1869" s="11" t="s">
        <v>6474</v>
      </c>
      <c r="B1869" s="11"/>
      <c r="C1869" s="1252">
        <v>1873</v>
      </c>
      <c r="D1869" s="1252">
        <v>2552814.7852082499</v>
      </c>
      <c r="E1869" s="1253">
        <v>77614.790139386605</v>
      </c>
      <c r="F1869" s="1254">
        <v>89.516259977418798</v>
      </c>
      <c r="G1869" s="1255">
        <v>1.5714464262387999</v>
      </c>
    </row>
    <row r="1870" spans="1:7" x14ac:dyDescent="0.25">
      <c r="A1870" s="6" t="s">
        <v>6475</v>
      </c>
      <c r="B1870" s="6"/>
      <c r="C1870" s="1248">
        <v>223</v>
      </c>
      <c r="D1870" s="1248">
        <v>298974.13654989499</v>
      </c>
      <c r="E1870" s="1249">
        <v>44385.133868448203</v>
      </c>
      <c r="F1870" s="1250">
        <v>10.4837400225812</v>
      </c>
      <c r="G1870" s="1251">
        <v>1.5714464262387999</v>
      </c>
    </row>
    <row r="1871" spans="1:7" x14ac:dyDescent="0.25">
      <c r="A1871" s="11" t="s">
        <v>982</v>
      </c>
      <c r="B1871" s="11" t="s">
        <v>983</v>
      </c>
      <c r="C1871" s="1252">
        <v>3945</v>
      </c>
      <c r="D1871" s="1252">
        <v>3926628.1282332698</v>
      </c>
      <c r="E1871" s="1253">
        <v>66078.495118267194</v>
      </c>
      <c r="F1871" s="1254">
        <v>98.751395802714597</v>
      </c>
      <c r="G1871" s="1255">
        <v>0.46161018515223901</v>
      </c>
    </row>
    <row r="1872" spans="1:7" x14ac:dyDescent="0.25">
      <c r="A1872" s="6" t="s">
        <v>996</v>
      </c>
      <c r="B1872" s="6" t="s">
        <v>997</v>
      </c>
      <c r="C1872" s="1248">
        <v>40</v>
      </c>
      <c r="D1872" s="1248">
        <v>49647.950008583903</v>
      </c>
      <c r="E1872" s="1249">
        <v>18399.271600132299</v>
      </c>
      <c r="F1872" s="1250">
        <v>1.24860419728542</v>
      </c>
      <c r="G1872" s="1251">
        <v>0.461610185152243</v>
      </c>
    </row>
    <row r="1873" spans="1:7" x14ac:dyDescent="0.25">
      <c r="A1873" s="11" t="s">
        <v>6293</v>
      </c>
      <c r="B1873" s="11" t="s">
        <v>6294</v>
      </c>
      <c r="C1873" s="1252">
        <v>2096</v>
      </c>
      <c r="D1873" s="1252">
        <v>2851788.92175814</v>
      </c>
      <c r="E1873" s="1253">
        <v>63827.578664974302</v>
      </c>
      <c r="F1873" s="1254">
        <v>41.765696749491099</v>
      </c>
      <c r="G1873" s="1255">
        <v>0.93478282156032599</v>
      </c>
    </row>
    <row r="1874" spans="1:7" x14ac:dyDescent="0.25">
      <c r="A1874" s="6" t="s">
        <v>6293</v>
      </c>
      <c r="B1874" s="6" t="s">
        <v>6295</v>
      </c>
      <c r="C1874" s="1248">
        <v>6081</v>
      </c>
      <c r="D1874" s="1248">
        <v>6828065</v>
      </c>
      <c r="E1874" s="1249">
        <v>0</v>
      </c>
      <c r="F1874" s="1250">
        <v>100</v>
      </c>
      <c r="G1874" s="1251">
        <v>0</v>
      </c>
    </row>
    <row r="1875" spans="1:7" x14ac:dyDescent="0.25">
      <c r="A1875" s="3353" t="s">
        <v>921</v>
      </c>
      <c r="B1875" s="3354"/>
      <c r="C1875" s="3354"/>
      <c r="D1875" s="3354"/>
      <c r="E1875" s="3354"/>
      <c r="F1875" s="3354"/>
      <c r="G1875" s="3354"/>
    </row>
    <row r="1876" spans="1:7" x14ac:dyDescent="0.25">
      <c r="A1876" s="11" t="s">
        <v>986</v>
      </c>
      <c r="B1876" s="11" t="s">
        <v>1062</v>
      </c>
      <c r="C1876" s="1260">
        <v>1509</v>
      </c>
      <c r="D1876" s="1260">
        <v>1996901.77178449</v>
      </c>
      <c r="E1876" s="1261">
        <v>92508.139714488498</v>
      </c>
      <c r="F1876" s="1262">
        <v>83.060018114678698</v>
      </c>
      <c r="G1876" s="1263">
        <v>2.2748936495273502</v>
      </c>
    </row>
    <row r="1877" spans="1:7" x14ac:dyDescent="0.25">
      <c r="A1877" s="6" t="s">
        <v>984</v>
      </c>
      <c r="B1877" s="6" t="s">
        <v>1061</v>
      </c>
      <c r="C1877" s="1256">
        <v>251</v>
      </c>
      <c r="D1877" s="1256">
        <v>407265.50040105399</v>
      </c>
      <c r="E1877" s="1257">
        <v>53260.415855857398</v>
      </c>
      <c r="F1877" s="1258">
        <v>16.939981885321298</v>
      </c>
      <c r="G1877" s="1259">
        <v>2.2748936495273502</v>
      </c>
    </row>
    <row r="1878" spans="1:7" x14ac:dyDescent="0.25">
      <c r="A1878" s="11" t="s">
        <v>982</v>
      </c>
      <c r="B1878" s="11" t="s">
        <v>983</v>
      </c>
      <c r="C1878" s="1260">
        <v>4318</v>
      </c>
      <c r="D1878" s="1260">
        <v>4415579.92171604</v>
      </c>
      <c r="E1878" s="1261">
        <v>74707.542957643207</v>
      </c>
      <c r="F1878" s="1262">
        <v>99.811980144881502</v>
      </c>
      <c r="G1878" s="1263">
        <v>0.14797060492825001</v>
      </c>
    </row>
    <row r="1879" spans="1:7" x14ac:dyDescent="0.25">
      <c r="A1879" s="6" t="s">
        <v>978</v>
      </c>
      <c r="B1879" s="6" t="s">
        <v>1047</v>
      </c>
      <c r="C1879" s="1256">
        <v>2</v>
      </c>
      <c r="D1879" s="1256">
        <v>8317.8060984262102</v>
      </c>
      <c r="E1879" s="1257">
        <v>6559.9547528774701</v>
      </c>
      <c r="F1879" s="1258">
        <v>0.18801985511847399</v>
      </c>
      <c r="G1879" s="1259">
        <v>0.14797060492824901</v>
      </c>
    </row>
    <row r="1880" spans="1:7" x14ac:dyDescent="0.25">
      <c r="A1880" s="11" t="s">
        <v>6293</v>
      </c>
      <c r="B1880" s="11" t="s">
        <v>6294</v>
      </c>
      <c r="C1880" s="1260">
        <v>1760</v>
      </c>
      <c r="D1880" s="1260">
        <v>2404167.2721855398</v>
      </c>
      <c r="E1880" s="1261">
        <v>74716.788914231103</v>
      </c>
      <c r="F1880" s="1262">
        <v>35.2100818048091</v>
      </c>
      <c r="G1880" s="1263">
        <v>1.0942600709605299</v>
      </c>
    </row>
    <row r="1881" spans="1:7" x14ac:dyDescent="0.25">
      <c r="A1881" s="6" t="s">
        <v>6293</v>
      </c>
      <c r="B1881" s="6" t="s">
        <v>6295</v>
      </c>
      <c r="C1881" s="1256">
        <v>6080</v>
      </c>
      <c r="D1881" s="1256">
        <v>6828065</v>
      </c>
      <c r="E1881" s="1257">
        <v>0</v>
      </c>
      <c r="F1881" s="1258">
        <v>100</v>
      </c>
      <c r="G1881" s="1259">
        <v>0</v>
      </c>
    </row>
    <row r="1882" spans="1:7" x14ac:dyDescent="0.25">
      <c r="A1882" s="3353" t="s">
        <v>188</v>
      </c>
      <c r="B1882" s="3354"/>
      <c r="C1882" s="3354"/>
      <c r="D1882" s="3354"/>
      <c r="E1882" s="3354"/>
      <c r="F1882" s="3354"/>
      <c r="G1882" s="3354"/>
    </row>
    <row r="1883" spans="1:7" x14ac:dyDescent="0.25">
      <c r="A1883" s="11" t="s">
        <v>986</v>
      </c>
      <c r="B1883" s="11" t="s">
        <v>1153</v>
      </c>
      <c r="C1883" s="1268">
        <v>1086</v>
      </c>
      <c r="D1883" s="1268">
        <v>1557555.62563067</v>
      </c>
      <c r="E1883" s="1269">
        <v>91538.789490339506</v>
      </c>
      <c r="F1883" s="1270">
        <v>53.883795498254202</v>
      </c>
      <c r="G1883" s="1271">
        <v>2.3587688354680401</v>
      </c>
    </row>
    <row r="1884" spans="1:7" x14ac:dyDescent="0.25">
      <c r="A1884" s="6" t="s">
        <v>984</v>
      </c>
      <c r="B1884" s="6" t="s">
        <v>1061</v>
      </c>
      <c r="C1884" s="1264">
        <v>1050</v>
      </c>
      <c r="D1884" s="1264">
        <v>1333026.99058673</v>
      </c>
      <c r="E1884" s="1265">
        <v>58342.717116762899</v>
      </c>
      <c r="F1884" s="1266">
        <v>46.116204501745798</v>
      </c>
      <c r="G1884" s="1267">
        <v>2.3587688354680498</v>
      </c>
    </row>
    <row r="1885" spans="1:7" x14ac:dyDescent="0.25">
      <c r="A1885" s="11" t="s">
        <v>982</v>
      </c>
      <c r="B1885" s="11" t="s">
        <v>983</v>
      </c>
      <c r="C1885" s="1268">
        <v>3940</v>
      </c>
      <c r="D1885" s="1268">
        <v>3921370.4157522102</v>
      </c>
      <c r="E1885" s="1269">
        <v>66252.325852430906</v>
      </c>
      <c r="F1885" s="1270">
        <v>99.590805330412195</v>
      </c>
      <c r="G1885" s="1271">
        <v>0.31142345776955699</v>
      </c>
    </row>
    <row r="1886" spans="1:7" x14ac:dyDescent="0.25">
      <c r="A1886" s="6" t="s">
        <v>978</v>
      </c>
      <c r="B1886" s="6" t="s">
        <v>1047</v>
      </c>
      <c r="C1886" s="1264">
        <v>4</v>
      </c>
      <c r="D1886" s="1264">
        <v>15386.4175927244</v>
      </c>
      <c r="E1886" s="1265">
        <v>11613.982109614601</v>
      </c>
      <c r="F1886" s="1266">
        <v>0.39076790936505101</v>
      </c>
      <c r="G1886" s="1267">
        <v>0.29421404431675202</v>
      </c>
    </row>
    <row r="1887" spans="1:7" x14ac:dyDescent="0.25">
      <c r="A1887" s="11" t="s">
        <v>980</v>
      </c>
      <c r="B1887" s="11" t="s">
        <v>1041</v>
      </c>
      <c r="C1887" s="1268">
        <v>1</v>
      </c>
      <c r="D1887" s="1268">
        <v>725.55043767431198</v>
      </c>
      <c r="E1887" s="1269">
        <v>768.13419842454505</v>
      </c>
      <c r="F1887" s="1270">
        <v>1.8426760222792399E-2</v>
      </c>
      <c r="G1887" s="1271">
        <v>1.94223132934449E-2</v>
      </c>
    </row>
    <row r="1888" spans="1:7" x14ac:dyDescent="0.25">
      <c r="A1888" s="6" t="s">
        <v>6293</v>
      </c>
      <c r="B1888" s="6" t="s">
        <v>6294</v>
      </c>
      <c r="C1888" s="1264">
        <v>2136</v>
      </c>
      <c r="D1888" s="1264">
        <v>2890582.6162173999</v>
      </c>
      <c r="E1888" s="1265">
        <v>65045.400692167299</v>
      </c>
      <c r="F1888" s="1266">
        <v>42.3338473816139</v>
      </c>
      <c r="G1888" s="1267">
        <v>0.95261835808778295</v>
      </c>
    </row>
    <row r="1889" spans="1:7" x14ac:dyDescent="0.25">
      <c r="A1889" s="11" t="s">
        <v>6293</v>
      </c>
      <c r="B1889" s="11" t="s">
        <v>6295</v>
      </c>
      <c r="C1889" s="1268">
        <v>6081</v>
      </c>
      <c r="D1889" s="1268">
        <v>6828065</v>
      </c>
      <c r="E1889" s="1269">
        <v>0</v>
      </c>
      <c r="F1889" s="1270">
        <v>100</v>
      </c>
      <c r="G1889" s="1271">
        <v>0</v>
      </c>
    </row>
    <row r="1890" spans="1:7" x14ac:dyDescent="0.25">
      <c r="A1890" s="3353" t="s">
        <v>915</v>
      </c>
      <c r="B1890" s="3354"/>
      <c r="C1890" s="3354"/>
      <c r="D1890" s="3354"/>
      <c r="E1890" s="3354"/>
      <c r="F1890" s="3354"/>
      <c r="G1890" s="3354"/>
    </row>
    <row r="1891" spans="1:7" x14ac:dyDescent="0.25">
      <c r="A1891" s="11" t="s">
        <v>1174</v>
      </c>
      <c r="B1891" s="11"/>
      <c r="C1891" s="1276">
        <v>61</v>
      </c>
      <c r="D1891" s="1276">
        <v>97430.4381402211</v>
      </c>
      <c r="E1891" s="1277">
        <v>32821.635675268903</v>
      </c>
      <c r="F1891" s="1278">
        <v>23.934617855032101</v>
      </c>
      <c r="G1891" s="1279">
        <v>6.3545899519263997</v>
      </c>
    </row>
    <row r="1892" spans="1:7" x14ac:dyDescent="0.25">
      <c r="A1892" s="6" t="s">
        <v>6299</v>
      </c>
      <c r="B1892" s="6"/>
      <c r="C1892" s="1272">
        <v>23</v>
      </c>
      <c r="D1892" s="1272">
        <v>46363.610281710899</v>
      </c>
      <c r="E1892" s="1273">
        <v>21685.561026022398</v>
      </c>
      <c r="F1892" s="1274">
        <v>11.3896161780092</v>
      </c>
      <c r="G1892" s="1275">
        <v>5.6603919633831499</v>
      </c>
    </row>
    <row r="1893" spans="1:7" x14ac:dyDescent="0.25">
      <c r="A1893" s="11" t="s">
        <v>6297</v>
      </c>
      <c r="B1893" s="11"/>
      <c r="C1893" s="1276">
        <v>24</v>
      </c>
      <c r="D1893" s="1276">
        <v>41750.589895928802</v>
      </c>
      <c r="E1893" s="1277">
        <v>14051.651987453701</v>
      </c>
      <c r="F1893" s="1278">
        <v>10.2563883880216</v>
      </c>
      <c r="G1893" s="1279">
        <v>3.3931208438375799</v>
      </c>
    </row>
    <row r="1894" spans="1:7" x14ac:dyDescent="0.25">
      <c r="A1894" s="6" t="s">
        <v>6298</v>
      </c>
      <c r="B1894" s="6"/>
      <c r="C1894" s="1272">
        <v>24</v>
      </c>
      <c r="D1894" s="1272">
        <v>34886.552381336602</v>
      </c>
      <c r="E1894" s="1273">
        <v>11513.972530601</v>
      </c>
      <c r="F1894" s="1274">
        <v>8.5701790473848707</v>
      </c>
      <c r="G1894" s="1275">
        <v>3.1339728802941198</v>
      </c>
    </row>
    <row r="1895" spans="1:7" x14ac:dyDescent="0.25">
      <c r="A1895" s="11" t="s">
        <v>6301</v>
      </c>
      <c r="B1895" s="11"/>
      <c r="C1895" s="1276">
        <v>9</v>
      </c>
      <c r="D1895" s="1276">
        <v>33498.347061704299</v>
      </c>
      <c r="E1895" s="1277">
        <v>12842.1578254837</v>
      </c>
      <c r="F1895" s="1278">
        <v>8.2291545742946308</v>
      </c>
      <c r="G1895" s="1279">
        <v>3.12974711179139</v>
      </c>
    </row>
    <row r="1896" spans="1:7" x14ac:dyDescent="0.25">
      <c r="A1896" s="6" t="s">
        <v>6300</v>
      </c>
      <c r="B1896" s="6"/>
      <c r="C1896" s="1272">
        <v>20</v>
      </c>
      <c r="D1896" s="1272">
        <v>26745.154279042599</v>
      </c>
      <c r="E1896" s="1273">
        <v>10234.701175096799</v>
      </c>
      <c r="F1896" s="1274">
        <v>6.5701751871574601</v>
      </c>
      <c r="G1896" s="1275">
        <v>2.3224832602665999</v>
      </c>
    </row>
    <row r="1897" spans="1:7" x14ac:dyDescent="0.25">
      <c r="A1897" s="11" t="s">
        <v>6296</v>
      </c>
      <c r="B1897" s="11"/>
      <c r="C1897" s="1276">
        <v>24</v>
      </c>
      <c r="D1897" s="1276">
        <v>26258.7256673843</v>
      </c>
      <c r="E1897" s="1277">
        <v>10281.4580506408</v>
      </c>
      <c r="F1897" s="1278">
        <v>6.4506798512436401</v>
      </c>
      <c r="G1897" s="1279">
        <v>2.7139752401495598</v>
      </c>
    </row>
    <row r="1898" spans="1:7" x14ac:dyDescent="0.25">
      <c r="A1898" s="6" t="s">
        <v>1027</v>
      </c>
      <c r="B1898" s="6"/>
      <c r="C1898" s="1272">
        <v>9</v>
      </c>
      <c r="D1898" s="1272">
        <v>22667.747843496301</v>
      </c>
      <c r="E1898" s="1273">
        <v>13735.137138677501</v>
      </c>
      <c r="F1898" s="1274">
        <v>5.5685255308765704</v>
      </c>
      <c r="G1898" s="1275">
        <v>3.0816303637505502</v>
      </c>
    </row>
    <row r="1899" spans="1:7" x14ac:dyDescent="0.25">
      <c r="A1899" s="11" t="s">
        <v>1177</v>
      </c>
      <c r="B1899" s="11"/>
      <c r="C1899" s="1276">
        <v>10</v>
      </c>
      <c r="D1899" s="1276">
        <v>19402.809880104101</v>
      </c>
      <c r="E1899" s="1277">
        <v>10127.2964462977</v>
      </c>
      <c r="F1899" s="1278">
        <v>4.7664656821698097</v>
      </c>
      <c r="G1899" s="1279">
        <v>2.37937976397534</v>
      </c>
    </row>
    <row r="1900" spans="1:7" x14ac:dyDescent="0.25">
      <c r="A1900" s="6" t="s">
        <v>6303</v>
      </c>
      <c r="B1900" s="6"/>
      <c r="C1900" s="1272">
        <v>7</v>
      </c>
      <c r="D1900" s="1272">
        <v>16068.121949180801</v>
      </c>
      <c r="E1900" s="1273">
        <v>9696.5868708843991</v>
      </c>
      <c r="F1900" s="1274">
        <v>3.9472711592265002</v>
      </c>
      <c r="G1900" s="1275">
        <v>2.5289366016502002</v>
      </c>
    </row>
    <row r="1901" spans="1:7" x14ac:dyDescent="0.25">
      <c r="A1901" s="11" t="s">
        <v>1179</v>
      </c>
      <c r="B1901" s="11"/>
      <c r="C1901" s="1276">
        <v>4</v>
      </c>
      <c r="D1901" s="1276">
        <v>11045.6158901867</v>
      </c>
      <c r="E1901" s="1277">
        <v>9966.5996593722302</v>
      </c>
      <c r="F1901" s="1278">
        <v>2.71344972219674</v>
      </c>
      <c r="G1901" s="1279">
        <v>2.38001779450597</v>
      </c>
    </row>
    <row r="1902" spans="1:7" x14ac:dyDescent="0.25">
      <c r="A1902" s="6" t="s">
        <v>1073</v>
      </c>
      <c r="B1902" s="6"/>
      <c r="C1902" s="1272">
        <v>2</v>
      </c>
      <c r="D1902" s="1272">
        <v>9558.3614013955794</v>
      </c>
      <c r="E1902" s="1273">
        <v>9755.1466269943703</v>
      </c>
      <c r="F1902" s="1274">
        <v>2.3480929761748599</v>
      </c>
      <c r="G1902" s="1275">
        <v>2.4837518925377799</v>
      </c>
    </row>
    <row r="1903" spans="1:7" x14ac:dyDescent="0.25">
      <c r="A1903" s="11" t="s">
        <v>1017</v>
      </c>
      <c r="B1903" s="11"/>
      <c r="C1903" s="1276">
        <v>15</v>
      </c>
      <c r="D1903" s="1276">
        <v>9069.7102933486804</v>
      </c>
      <c r="E1903" s="1277">
        <v>4172.2232301820104</v>
      </c>
      <c r="F1903" s="1278">
        <v>2.2280516650734099</v>
      </c>
      <c r="G1903" s="1279">
        <v>0.97345583421332704</v>
      </c>
    </row>
    <row r="1904" spans="1:7" x14ac:dyDescent="0.25">
      <c r="A1904" s="6" t="s">
        <v>1033</v>
      </c>
      <c r="B1904" s="6"/>
      <c r="C1904" s="1272">
        <v>1</v>
      </c>
      <c r="D1904" s="1272">
        <v>2610.6787789632499</v>
      </c>
      <c r="E1904" s="1273">
        <v>2760.2564664401698</v>
      </c>
      <c r="F1904" s="1274">
        <v>0.64133550160985997</v>
      </c>
      <c r="G1904" s="1275">
        <v>0.68824794695553304</v>
      </c>
    </row>
    <row r="1905" spans="1:7" x14ac:dyDescent="0.25">
      <c r="A1905" s="11" t="s">
        <v>1021</v>
      </c>
      <c r="B1905" s="11"/>
      <c r="C1905" s="1276">
        <v>5</v>
      </c>
      <c r="D1905" s="1276">
        <v>2605.6547456234998</v>
      </c>
      <c r="E1905" s="1277">
        <v>1931.5280291952599</v>
      </c>
      <c r="F1905" s="1278">
        <v>0.64010130498329199</v>
      </c>
      <c r="G1905" s="1279">
        <v>0.51730470556195296</v>
      </c>
    </row>
    <row r="1906" spans="1:7" x14ac:dyDescent="0.25">
      <c r="A1906" s="6" t="s">
        <v>6304</v>
      </c>
      <c r="B1906" s="6"/>
      <c r="C1906" s="1272">
        <v>2</v>
      </c>
      <c r="D1906" s="1272">
        <v>2223.2733128121099</v>
      </c>
      <c r="E1906" s="1273">
        <v>2292.3968042870201</v>
      </c>
      <c r="F1906" s="1274">
        <v>0.546166045695751</v>
      </c>
      <c r="G1906" s="1275">
        <v>0.55818007329743502</v>
      </c>
    </row>
    <row r="1907" spans="1:7" x14ac:dyDescent="0.25">
      <c r="A1907" s="11" t="s">
        <v>1025</v>
      </c>
      <c r="B1907" s="11"/>
      <c r="C1907" s="1276">
        <v>1</v>
      </c>
      <c r="D1907" s="1276">
        <v>2199.1910845013899</v>
      </c>
      <c r="E1907" s="1277">
        <v>2273.7560031646999</v>
      </c>
      <c r="F1907" s="1278">
        <v>0.54025004097774698</v>
      </c>
      <c r="G1907" s="1279">
        <v>0.57416170340392003</v>
      </c>
    </row>
    <row r="1908" spans="1:7" x14ac:dyDescent="0.25">
      <c r="A1908" s="6" t="s">
        <v>6302</v>
      </c>
      <c r="B1908" s="6"/>
      <c r="C1908" s="1272">
        <v>4</v>
      </c>
      <c r="D1908" s="1272">
        <v>1327.2615421877299</v>
      </c>
      <c r="E1908" s="1273">
        <v>1278.1061677196301</v>
      </c>
      <c r="F1908" s="1274">
        <v>0.32605311453310099</v>
      </c>
      <c r="G1908" s="1275">
        <v>0.32680595102113003</v>
      </c>
    </row>
    <row r="1909" spans="1:7" x14ac:dyDescent="0.25">
      <c r="A1909" s="11" t="s">
        <v>1019</v>
      </c>
      <c r="B1909" s="11"/>
      <c r="C1909" s="1276">
        <v>1</v>
      </c>
      <c r="D1909" s="1276">
        <v>989.43029101125296</v>
      </c>
      <c r="E1909" s="1277">
        <v>1045.6500058753199</v>
      </c>
      <c r="F1909" s="1278">
        <v>0.24306198721456099</v>
      </c>
      <c r="G1909" s="1279">
        <v>0.25788889222148798</v>
      </c>
    </row>
    <row r="1910" spans="1:7" x14ac:dyDescent="0.25">
      <c r="A1910" s="6" t="s">
        <v>1071</v>
      </c>
      <c r="B1910" s="6"/>
      <c r="C1910" s="1272">
        <v>2</v>
      </c>
      <c r="D1910" s="1272">
        <v>283.60348928794798</v>
      </c>
      <c r="E1910" s="1273">
        <v>286.10013942005799</v>
      </c>
      <c r="F1910" s="1274">
        <v>6.9669615245818495E-2</v>
      </c>
      <c r="G1910" s="1275">
        <v>7.2046554770004101E-2</v>
      </c>
    </row>
    <row r="1911" spans="1:7" x14ac:dyDescent="0.25">
      <c r="A1911" s="11" t="s">
        <v>3054</v>
      </c>
      <c r="B1911" s="11"/>
      <c r="C1911" s="1276">
        <v>2</v>
      </c>
      <c r="D1911" s="1276">
        <v>84.241215585430098</v>
      </c>
      <c r="E1911" s="1277">
        <v>86.662728859502494</v>
      </c>
      <c r="F1911" s="1278">
        <v>2.0694572878537501E-2</v>
      </c>
      <c r="G1911" s="1279">
        <v>2.1392483994656201E-2</v>
      </c>
    </row>
    <row r="1912" spans="1:7" x14ac:dyDescent="0.25">
      <c r="A1912" s="6" t="s">
        <v>982</v>
      </c>
      <c r="B1912" s="6" t="s">
        <v>983</v>
      </c>
      <c r="C1912" s="1272">
        <v>5830</v>
      </c>
      <c r="D1912" s="1272">
        <v>6420799.4995989501</v>
      </c>
      <c r="E1912" s="1273">
        <v>53260.415855849198</v>
      </c>
      <c r="F1912" s="1274">
        <v>99.996941580719096</v>
      </c>
      <c r="G1912" s="1275">
        <v>3.1972771586400201E-3</v>
      </c>
    </row>
    <row r="1913" spans="1:7" x14ac:dyDescent="0.25">
      <c r="A1913" s="11" t="s">
        <v>980</v>
      </c>
      <c r="B1913" s="11" t="s">
        <v>1041</v>
      </c>
      <c r="C1913" s="1276">
        <v>1</v>
      </c>
      <c r="D1913" s="1276">
        <v>196.380976040261</v>
      </c>
      <c r="E1913" s="1277">
        <v>205.13322429189299</v>
      </c>
      <c r="F1913" s="1278">
        <v>3.0584192809461098E-3</v>
      </c>
      <c r="G1913" s="1279">
        <v>3.1972771586396501E-3</v>
      </c>
    </row>
    <row r="1914" spans="1:7" x14ac:dyDescent="0.25">
      <c r="A1914" s="6" t="s">
        <v>6293</v>
      </c>
      <c r="B1914" s="6" t="s">
        <v>6294</v>
      </c>
      <c r="C1914" s="1272">
        <v>250</v>
      </c>
      <c r="D1914" s="1272">
        <v>407069.11942501302</v>
      </c>
      <c r="E1914" s="1273">
        <v>53253.152599348097</v>
      </c>
      <c r="F1914" s="1274">
        <v>5.9617053942077698</v>
      </c>
      <c r="G1914" s="1275">
        <v>0.77991572428422296</v>
      </c>
    </row>
    <row r="1915" spans="1:7" x14ac:dyDescent="0.25">
      <c r="A1915" s="11" t="s">
        <v>6293</v>
      </c>
      <c r="B1915" s="11" t="s">
        <v>6295</v>
      </c>
      <c r="C1915" s="1276">
        <v>6081</v>
      </c>
      <c r="D1915" s="1276">
        <v>6828065.0000000102</v>
      </c>
      <c r="E1915" s="1277">
        <v>0</v>
      </c>
      <c r="F1915" s="1278">
        <v>100</v>
      </c>
      <c r="G1915" s="1279">
        <v>0</v>
      </c>
    </row>
    <row r="1916" spans="1:7" x14ac:dyDescent="0.25">
      <c r="A1916" s="3353" t="s">
        <v>598</v>
      </c>
      <c r="B1916" s="3354"/>
      <c r="C1916" s="3354"/>
      <c r="D1916" s="3354"/>
      <c r="E1916" s="3354"/>
      <c r="F1916" s="3354"/>
      <c r="G1916" s="3354"/>
    </row>
    <row r="1917" spans="1:7" x14ac:dyDescent="0.25">
      <c r="A1917" s="11" t="s">
        <v>988</v>
      </c>
      <c r="B1917" s="11" t="s">
        <v>6056</v>
      </c>
      <c r="C1917" s="1284">
        <v>180</v>
      </c>
      <c r="D1917" s="1284">
        <v>409800.19070583698</v>
      </c>
      <c r="E1917" s="1285">
        <v>62365.809575869098</v>
      </c>
      <c r="F1917" s="1286">
        <v>38.426351651730002</v>
      </c>
      <c r="G1917" s="1287">
        <v>5.6663964099622097</v>
      </c>
    </row>
    <row r="1918" spans="1:7" x14ac:dyDescent="0.25">
      <c r="A1918" s="6" t="s">
        <v>1017</v>
      </c>
      <c r="B1918" s="6" t="s">
        <v>6062</v>
      </c>
      <c r="C1918" s="1280">
        <v>173</v>
      </c>
      <c r="D1918" s="1280">
        <v>294995.57227722497</v>
      </c>
      <c r="E1918" s="1281">
        <v>49391.355676124702</v>
      </c>
      <c r="F1918" s="1282">
        <v>27.6612940967733</v>
      </c>
      <c r="G1918" s="1283">
        <v>4.7826820353461903</v>
      </c>
    </row>
    <row r="1919" spans="1:7" x14ac:dyDescent="0.25">
      <c r="A1919" s="11" t="s">
        <v>984</v>
      </c>
      <c r="B1919" s="11" t="s">
        <v>853</v>
      </c>
      <c r="C1919" s="1284">
        <v>51</v>
      </c>
      <c r="D1919" s="1284">
        <v>127317.51438575301</v>
      </c>
      <c r="E1919" s="1285">
        <v>46300.110350394199</v>
      </c>
      <c r="F1919" s="1286">
        <v>11.9383731149188</v>
      </c>
      <c r="G1919" s="1287">
        <v>4.1765263318124104</v>
      </c>
    </row>
    <row r="1920" spans="1:7" x14ac:dyDescent="0.25">
      <c r="A1920" s="6" t="s">
        <v>990</v>
      </c>
      <c r="B1920" s="6" t="s">
        <v>6057</v>
      </c>
      <c r="C1920" s="1280">
        <v>62</v>
      </c>
      <c r="D1920" s="1280">
        <v>120512.37440012601</v>
      </c>
      <c r="E1920" s="1281">
        <v>41277.2738711438</v>
      </c>
      <c r="F1920" s="1282">
        <v>11.3002653051675</v>
      </c>
      <c r="G1920" s="1283">
        <v>3.90285785781046</v>
      </c>
    </row>
    <row r="1921" spans="1:7" x14ac:dyDescent="0.25">
      <c r="A1921" s="11" t="s">
        <v>994</v>
      </c>
      <c r="B1921" s="11" t="s">
        <v>6058</v>
      </c>
      <c r="C1921" s="1284">
        <v>32</v>
      </c>
      <c r="D1921" s="1284">
        <v>54084.074889702002</v>
      </c>
      <c r="E1921" s="1285">
        <v>15803.9567239386</v>
      </c>
      <c r="F1921" s="1286">
        <v>5.0713829022153902</v>
      </c>
      <c r="G1921" s="1287">
        <v>1.5312286530436401</v>
      </c>
    </row>
    <row r="1922" spans="1:7" x14ac:dyDescent="0.25">
      <c r="A1922" s="6" t="s">
        <v>1019</v>
      </c>
      <c r="B1922" s="6" t="s">
        <v>6063</v>
      </c>
      <c r="C1922" s="1280">
        <v>3</v>
      </c>
      <c r="D1922" s="1280">
        <v>21959.897552972299</v>
      </c>
      <c r="E1922" s="1281">
        <v>12880.452638033301</v>
      </c>
      <c r="F1922" s="1282">
        <v>2.05914678603017</v>
      </c>
      <c r="G1922" s="1283">
        <v>1.18589948242413</v>
      </c>
    </row>
    <row r="1923" spans="1:7" x14ac:dyDescent="0.25">
      <c r="A1923" s="11" t="s">
        <v>986</v>
      </c>
      <c r="B1923" s="11" t="s">
        <v>1001</v>
      </c>
      <c r="C1923" s="1284">
        <v>9</v>
      </c>
      <c r="D1923" s="1284">
        <v>17731.100571782401</v>
      </c>
      <c r="E1923" s="1285">
        <v>10778.829408240001</v>
      </c>
      <c r="F1923" s="1286">
        <v>1.6626188108159801</v>
      </c>
      <c r="G1923" s="1287">
        <v>1.0302289580674899</v>
      </c>
    </row>
    <row r="1924" spans="1:7" x14ac:dyDescent="0.25">
      <c r="A1924" s="6" t="s">
        <v>1023</v>
      </c>
      <c r="B1924" s="6" t="s">
        <v>6065</v>
      </c>
      <c r="C1924" s="1280">
        <v>2</v>
      </c>
      <c r="D1924" s="1280">
        <v>10622.8683600434</v>
      </c>
      <c r="E1924" s="1281">
        <v>11633.5490990326</v>
      </c>
      <c r="F1924" s="1282">
        <v>0.99609049583404297</v>
      </c>
      <c r="G1924" s="1283">
        <v>1.0888889567013</v>
      </c>
    </row>
    <row r="1925" spans="1:7" x14ac:dyDescent="0.25">
      <c r="A1925" s="11" t="s">
        <v>992</v>
      </c>
      <c r="B1925" s="11" t="s">
        <v>4517</v>
      </c>
      <c r="C1925" s="1284">
        <v>14</v>
      </c>
      <c r="D1925" s="1284">
        <v>8970.7720256213706</v>
      </c>
      <c r="E1925" s="1285">
        <v>4309.3785056356401</v>
      </c>
      <c r="F1925" s="1286">
        <v>0.84117589074396504</v>
      </c>
      <c r="G1925" s="1287">
        <v>0.395280896762495</v>
      </c>
    </row>
    <row r="1926" spans="1:7" x14ac:dyDescent="0.25">
      <c r="A1926" s="6" t="s">
        <v>1005</v>
      </c>
      <c r="B1926" s="6" t="s">
        <v>1006</v>
      </c>
      <c r="C1926" s="1280">
        <v>2</v>
      </c>
      <c r="D1926" s="1280">
        <v>461.78559951406601</v>
      </c>
      <c r="E1926" s="1281">
        <v>281.603587240499</v>
      </c>
      <c r="F1926" s="1282">
        <v>4.3300945770837797E-2</v>
      </c>
      <c r="G1926" s="1283">
        <v>2.6073258941184702E-2</v>
      </c>
    </row>
    <row r="1927" spans="1:7" x14ac:dyDescent="0.25">
      <c r="A1927" s="11" t="s">
        <v>982</v>
      </c>
      <c r="B1927" s="11" t="s">
        <v>983</v>
      </c>
      <c r="C1927" s="1284">
        <v>5553</v>
      </c>
      <c r="D1927" s="1284">
        <v>5761608.8492314303</v>
      </c>
      <c r="E1927" s="1285">
        <v>38712.238279267003</v>
      </c>
      <c r="F1927" s="1286">
        <v>100</v>
      </c>
      <c r="G1927" s="1287">
        <v>0</v>
      </c>
    </row>
    <row r="1928" spans="1:7" x14ac:dyDescent="0.25">
      <c r="A1928" s="6" t="s">
        <v>6293</v>
      </c>
      <c r="B1928" s="6" t="s">
        <v>6294</v>
      </c>
      <c r="C1928" s="1280">
        <v>528</v>
      </c>
      <c r="D1928" s="1280">
        <v>1066456.1507685799</v>
      </c>
      <c r="E1928" s="1281">
        <v>38712.238279258003</v>
      </c>
      <c r="F1928" s="1282">
        <v>15.6187170269846</v>
      </c>
      <c r="G1928" s="1283">
        <v>0.566957670720176</v>
      </c>
    </row>
    <row r="1929" spans="1:7" x14ac:dyDescent="0.25">
      <c r="A1929" s="11" t="s">
        <v>6293</v>
      </c>
      <c r="B1929" s="11" t="s">
        <v>6295</v>
      </c>
      <c r="C1929" s="1284">
        <v>6081</v>
      </c>
      <c r="D1929" s="1284">
        <v>6828065.0000000102</v>
      </c>
      <c r="E1929" s="1285">
        <v>0</v>
      </c>
      <c r="F1929" s="1286">
        <v>100</v>
      </c>
      <c r="G1929" s="1287">
        <v>0</v>
      </c>
    </row>
    <row r="1930" spans="1:7" x14ac:dyDescent="0.25">
      <c r="A1930" s="3353" t="s">
        <v>601</v>
      </c>
      <c r="B1930" s="3354"/>
      <c r="C1930" s="3354"/>
      <c r="D1930" s="3354"/>
      <c r="E1930" s="3354"/>
      <c r="F1930" s="3354"/>
      <c r="G1930" s="3354"/>
    </row>
    <row r="1931" spans="1:7" x14ac:dyDescent="0.25">
      <c r="A1931" s="11" t="s">
        <v>6461</v>
      </c>
      <c r="B1931" s="11"/>
      <c r="C1931" s="1292">
        <v>2</v>
      </c>
      <c r="D1931" s="1292">
        <v>461.78559951406601</v>
      </c>
      <c r="E1931" s="1293">
        <v>281.603587240499</v>
      </c>
      <c r="F1931" s="1294">
        <v>100</v>
      </c>
      <c r="G1931" s="1295">
        <v>0</v>
      </c>
    </row>
    <row r="1932" spans="1:7" x14ac:dyDescent="0.25">
      <c r="A1932" s="6" t="s">
        <v>982</v>
      </c>
      <c r="B1932" s="6" t="s">
        <v>983</v>
      </c>
      <c r="C1932" s="1288">
        <v>6079</v>
      </c>
      <c r="D1932" s="1288">
        <v>6827603.2144005001</v>
      </c>
      <c r="E1932" s="1289">
        <v>281.60358724807099</v>
      </c>
      <c r="F1932" s="1290">
        <v>100</v>
      </c>
      <c r="G1932" s="1291">
        <v>0</v>
      </c>
    </row>
    <row r="1933" spans="1:7" x14ac:dyDescent="0.25">
      <c r="A1933" s="11" t="s">
        <v>6293</v>
      </c>
      <c r="B1933" s="11" t="s">
        <v>6294</v>
      </c>
      <c r="C1933" s="1292">
        <v>2</v>
      </c>
      <c r="D1933" s="1292">
        <v>461.78559951406601</v>
      </c>
      <c r="E1933" s="1293">
        <v>281.603587240499</v>
      </c>
      <c r="F1933" s="1294">
        <v>6.7630521899552098E-3</v>
      </c>
      <c r="G1933" s="1295">
        <v>4.1242077695584304E-3</v>
      </c>
    </row>
    <row r="1934" spans="1:7" x14ac:dyDescent="0.25">
      <c r="A1934" s="6" t="s">
        <v>6293</v>
      </c>
      <c r="B1934" s="6" t="s">
        <v>6295</v>
      </c>
      <c r="C1934" s="1288">
        <v>6081</v>
      </c>
      <c r="D1934" s="1288">
        <v>6828065.0000000102</v>
      </c>
      <c r="E1934" s="1289">
        <v>0</v>
      </c>
      <c r="F1934" s="1290">
        <v>100</v>
      </c>
      <c r="G1934" s="1291">
        <v>0</v>
      </c>
    </row>
    <row r="1935" spans="1:7" x14ac:dyDescent="0.25">
      <c r="A1935" s="3353" t="s">
        <v>604</v>
      </c>
      <c r="B1935" s="3354"/>
      <c r="C1935" s="3354"/>
      <c r="D1935" s="3354"/>
      <c r="E1935" s="3354"/>
      <c r="F1935" s="3354"/>
      <c r="G1935" s="3354"/>
    </row>
    <row r="1936" spans="1:7" x14ac:dyDescent="0.25">
      <c r="A1936" s="11" t="s">
        <v>988</v>
      </c>
      <c r="B1936" s="11" t="s">
        <v>6056</v>
      </c>
      <c r="C1936" s="1300">
        <v>163</v>
      </c>
      <c r="D1936" s="1300">
        <v>389550.72414978902</v>
      </c>
      <c r="E1936" s="1301">
        <v>56262.997136803497</v>
      </c>
      <c r="F1936" s="1302">
        <v>36.5275894249422</v>
      </c>
      <c r="G1936" s="1303">
        <v>4.9889565328376397</v>
      </c>
    </row>
    <row r="1937" spans="1:7" x14ac:dyDescent="0.25">
      <c r="A1937" s="6" t="s">
        <v>1017</v>
      </c>
      <c r="B1937" s="6" t="s">
        <v>6062</v>
      </c>
      <c r="C1937" s="1296">
        <v>181</v>
      </c>
      <c r="D1937" s="1296">
        <v>310670.97549612803</v>
      </c>
      <c r="E1937" s="1297">
        <v>51917.778294453201</v>
      </c>
      <c r="F1937" s="1298">
        <v>29.131153237967901</v>
      </c>
      <c r="G1937" s="1299">
        <v>5.0274752183670097</v>
      </c>
    </row>
    <row r="1938" spans="1:7" x14ac:dyDescent="0.25">
      <c r="A1938" s="11" t="s">
        <v>984</v>
      </c>
      <c r="B1938" s="11" t="s">
        <v>853</v>
      </c>
      <c r="C1938" s="1300">
        <v>55</v>
      </c>
      <c r="D1938" s="1300">
        <v>128308.379742408</v>
      </c>
      <c r="E1938" s="1301">
        <v>36751.335215603598</v>
      </c>
      <c r="F1938" s="1302">
        <v>12.0312850790854</v>
      </c>
      <c r="G1938" s="1303">
        <v>3.2906722238772601</v>
      </c>
    </row>
    <row r="1939" spans="1:7" x14ac:dyDescent="0.25">
      <c r="A1939" s="6" t="s">
        <v>990</v>
      </c>
      <c r="B1939" s="6" t="s">
        <v>6057</v>
      </c>
      <c r="C1939" s="1296">
        <v>63</v>
      </c>
      <c r="D1939" s="1296">
        <v>123580.622675217</v>
      </c>
      <c r="E1939" s="1297">
        <v>41414.293968280501</v>
      </c>
      <c r="F1939" s="1298">
        <v>11.587970362040201</v>
      </c>
      <c r="G1939" s="1299">
        <v>3.9461675747053802</v>
      </c>
    </row>
    <row r="1940" spans="1:7" x14ac:dyDescent="0.25">
      <c r="A1940" s="11" t="s">
        <v>994</v>
      </c>
      <c r="B1940" s="11" t="s">
        <v>6058</v>
      </c>
      <c r="C1940" s="1300">
        <v>30</v>
      </c>
      <c r="D1940" s="1300">
        <v>45581.214001438602</v>
      </c>
      <c r="E1940" s="1301">
        <v>14807.809963588399</v>
      </c>
      <c r="F1940" s="1302">
        <v>4.2740823397745</v>
      </c>
      <c r="G1940" s="1303">
        <v>1.3989875080118099</v>
      </c>
    </row>
    <row r="1941" spans="1:7" x14ac:dyDescent="0.25">
      <c r="A1941" s="6" t="s">
        <v>1019</v>
      </c>
      <c r="B1941" s="6" t="s">
        <v>6063</v>
      </c>
      <c r="C1941" s="1296">
        <v>3</v>
      </c>
      <c r="D1941" s="1296">
        <v>20280.7773478663</v>
      </c>
      <c r="E1941" s="1297">
        <v>13438.874237182201</v>
      </c>
      <c r="F1941" s="1298">
        <v>1.90169819295902</v>
      </c>
      <c r="G1941" s="1299">
        <v>1.2443644000382199</v>
      </c>
    </row>
    <row r="1942" spans="1:7" x14ac:dyDescent="0.25">
      <c r="A1942" s="11" t="s">
        <v>986</v>
      </c>
      <c r="B1942" s="11" t="s">
        <v>1001</v>
      </c>
      <c r="C1942" s="1300">
        <v>9</v>
      </c>
      <c r="D1942" s="1300">
        <v>17731.100571782401</v>
      </c>
      <c r="E1942" s="1301">
        <v>10778.829408240001</v>
      </c>
      <c r="F1942" s="1302">
        <v>1.6626188108159801</v>
      </c>
      <c r="G1942" s="1303">
        <v>1.0302289580674899</v>
      </c>
    </row>
    <row r="1943" spans="1:7" x14ac:dyDescent="0.25">
      <c r="A1943" s="6" t="s">
        <v>1023</v>
      </c>
      <c r="B1943" s="6" t="s">
        <v>6065</v>
      </c>
      <c r="C1943" s="1296">
        <v>2</v>
      </c>
      <c r="D1943" s="1296">
        <v>10622.8683600434</v>
      </c>
      <c r="E1943" s="1297">
        <v>11633.5490990326</v>
      </c>
      <c r="F1943" s="1298">
        <v>0.99609049583404297</v>
      </c>
      <c r="G1943" s="1299">
        <v>1.0888889567013</v>
      </c>
    </row>
    <row r="1944" spans="1:7" x14ac:dyDescent="0.25">
      <c r="A1944" s="11" t="s">
        <v>992</v>
      </c>
      <c r="B1944" s="11" t="s">
        <v>4517</v>
      </c>
      <c r="C1944" s="1300">
        <v>18</v>
      </c>
      <c r="D1944" s="1300">
        <v>9399.2791515365006</v>
      </c>
      <c r="E1944" s="1301">
        <v>4289.6227393960899</v>
      </c>
      <c r="F1944" s="1302">
        <v>0.88135636376259796</v>
      </c>
      <c r="G1944" s="1303">
        <v>0.39331285659013598</v>
      </c>
    </row>
    <row r="1945" spans="1:7" x14ac:dyDescent="0.25">
      <c r="A1945" s="6" t="s">
        <v>1005</v>
      </c>
      <c r="B1945" s="6" t="s">
        <v>1006</v>
      </c>
      <c r="C1945" s="1296">
        <v>2</v>
      </c>
      <c r="D1945" s="1296">
        <v>5714.0678199337899</v>
      </c>
      <c r="E1945" s="1297">
        <v>5678.9302977449797</v>
      </c>
      <c r="F1945" s="1298">
        <v>0.53579960280746297</v>
      </c>
      <c r="G1945" s="1299">
        <v>0.52943252506777305</v>
      </c>
    </row>
    <row r="1946" spans="1:7" x14ac:dyDescent="0.25">
      <c r="A1946" s="11" t="s">
        <v>1021</v>
      </c>
      <c r="B1946" s="11" t="s">
        <v>6064</v>
      </c>
      <c r="C1946" s="1300">
        <v>1</v>
      </c>
      <c r="D1946" s="1300">
        <v>3663.0509755018802</v>
      </c>
      <c r="E1946" s="1301">
        <v>3931.4350523518101</v>
      </c>
      <c r="F1946" s="1302">
        <v>0.34347881747055298</v>
      </c>
      <c r="G1946" s="1303">
        <v>0.36845239721107698</v>
      </c>
    </row>
    <row r="1947" spans="1:7" x14ac:dyDescent="0.25">
      <c r="A1947" s="6" t="s">
        <v>1031</v>
      </c>
      <c r="B1947" s="6" t="s">
        <v>6069</v>
      </c>
      <c r="C1947" s="1296">
        <v>1</v>
      </c>
      <c r="D1947" s="1296">
        <v>1353.09047693153</v>
      </c>
      <c r="E1947" s="1297">
        <v>1328.1870673524099</v>
      </c>
      <c r="F1947" s="1298">
        <v>0.12687727254012099</v>
      </c>
      <c r="G1947" s="1299">
        <v>0.124324994283266</v>
      </c>
    </row>
    <row r="1948" spans="1:7" x14ac:dyDescent="0.25">
      <c r="A1948" s="11" t="s">
        <v>982</v>
      </c>
      <c r="B1948" s="11" t="s">
        <v>983</v>
      </c>
      <c r="C1948" s="1300">
        <v>5553</v>
      </c>
      <c r="D1948" s="1300">
        <v>5761608.8492314303</v>
      </c>
      <c r="E1948" s="1301">
        <v>38712.238279267003</v>
      </c>
      <c r="F1948" s="1302">
        <v>100</v>
      </c>
      <c r="G1948" s="1303">
        <v>0</v>
      </c>
    </row>
    <row r="1949" spans="1:7" x14ac:dyDescent="0.25">
      <c r="A1949" s="6" t="s">
        <v>6293</v>
      </c>
      <c r="B1949" s="6" t="s">
        <v>6294</v>
      </c>
      <c r="C1949" s="1296">
        <v>528</v>
      </c>
      <c r="D1949" s="1296">
        <v>1066456.1507685799</v>
      </c>
      <c r="E1949" s="1297">
        <v>38712.238279257901</v>
      </c>
      <c r="F1949" s="1298">
        <v>15.6187170269846</v>
      </c>
      <c r="G1949" s="1299">
        <v>0.566957670720172</v>
      </c>
    </row>
    <row r="1950" spans="1:7" x14ac:dyDescent="0.25">
      <c r="A1950" s="11" t="s">
        <v>6293</v>
      </c>
      <c r="B1950" s="11" t="s">
        <v>6295</v>
      </c>
      <c r="C1950" s="1300">
        <v>6081</v>
      </c>
      <c r="D1950" s="1300">
        <v>6828065.0000000102</v>
      </c>
      <c r="E1950" s="1301">
        <v>0</v>
      </c>
      <c r="F1950" s="1302">
        <v>100</v>
      </c>
      <c r="G1950" s="1303">
        <v>0</v>
      </c>
    </row>
    <row r="1951" spans="1:7" x14ac:dyDescent="0.25">
      <c r="A1951" s="3353" t="s">
        <v>607</v>
      </c>
      <c r="B1951" s="3354"/>
      <c r="C1951" s="3354"/>
      <c r="D1951" s="3354"/>
      <c r="E1951" s="3354"/>
      <c r="F1951" s="3354"/>
      <c r="G1951" s="3354"/>
    </row>
    <row r="1952" spans="1:7" x14ac:dyDescent="0.25">
      <c r="A1952" s="11" t="s">
        <v>6461</v>
      </c>
      <c r="B1952" s="11"/>
      <c r="C1952" s="1308">
        <v>2</v>
      </c>
      <c r="D1952" s="1308">
        <v>5714.0678199337899</v>
      </c>
      <c r="E1952" s="1309">
        <v>5678.9302977449797</v>
      </c>
      <c r="F1952" s="1310">
        <v>100</v>
      </c>
      <c r="G1952" s="1311">
        <v>0</v>
      </c>
    </row>
    <row r="1953" spans="1:7" x14ac:dyDescent="0.25">
      <c r="A1953" s="6" t="s">
        <v>982</v>
      </c>
      <c r="B1953" s="6" t="s">
        <v>983</v>
      </c>
      <c r="C1953" s="1304">
        <v>6079</v>
      </c>
      <c r="D1953" s="1304">
        <v>6822350.9321800796</v>
      </c>
      <c r="E1953" s="1305">
        <v>5678.9302977432299</v>
      </c>
      <c r="F1953" s="1306">
        <v>100</v>
      </c>
      <c r="G1953" s="1307">
        <v>0</v>
      </c>
    </row>
    <row r="1954" spans="1:7" x14ac:dyDescent="0.25">
      <c r="A1954" s="11" t="s">
        <v>6293</v>
      </c>
      <c r="B1954" s="11" t="s">
        <v>6294</v>
      </c>
      <c r="C1954" s="1308">
        <v>2</v>
      </c>
      <c r="D1954" s="1308">
        <v>5714.0678199337899</v>
      </c>
      <c r="E1954" s="1309">
        <v>5678.9302977449797</v>
      </c>
      <c r="F1954" s="1310">
        <v>8.3685023794205005E-2</v>
      </c>
      <c r="G1954" s="1311">
        <v>8.3170419404984805E-2</v>
      </c>
    </row>
    <row r="1955" spans="1:7" x14ac:dyDescent="0.25">
      <c r="A1955" s="6" t="s">
        <v>6293</v>
      </c>
      <c r="B1955" s="6" t="s">
        <v>6295</v>
      </c>
      <c r="C1955" s="1304">
        <v>6081</v>
      </c>
      <c r="D1955" s="1304">
        <v>6828065.0000000102</v>
      </c>
      <c r="E1955" s="1305">
        <v>0</v>
      </c>
      <c r="F1955" s="1306">
        <v>100</v>
      </c>
      <c r="G1955" s="1307">
        <v>0</v>
      </c>
    </row>
    <row r="1956" spans="1:7" x14ac:dyDescent="0.25">
      <c r="A1956" s="3353" t="s">
        <v>140</v>
      </c>
      <c r="B1956" s="3354"/>
      <c r="C1956" s="3354"/>
      <c r="D1956" s="3354"/>
      <c r="E1956" s="3354"/>
      <c r="F1956" s="3354"/>
      <c r="G1956" s="3354"/>
    </row>
    <row r="1957" spans="1:7" x14ac:dyDescent="0.25">
      <c r="A1957" s="11" t="s">
        <v>984</v>
      </c>
      <c r="B1957" s="11" t="s">
        <v>1061</v>
      </c>
      <c r="C1957" s="1316">
        <v>4212</v>
      </c>
      <c r="D1957" s="1316">
        <v>4740962.9749751501</v>
      </c>
      <c r="E1957" s="1317">
        <v>132011.841308729</v>
      </c>
      <c r="F1957" s="1318">
        <v>74.215273259476106</v>
      </c>
      <c r="G1957" s="1319">
        <v>2.0715684779245298</v>
      </c>
    </row>
    <row r="1958" spans="1:7" x14ac:dyDescent="0.25">
      <c r="A1958" s="6" t="s">
        <v>986</v>
      </c>
      <c r="B1958" s="6" t="s">
        <v>1153</v>
      </c>
      <c r="C1958" s="1312">
        <v>1659</v>
      </c>
      <c r="D1958" s="1312">
        <v>1647160.0713410601</v>
      </c>
      <c r="E1958" s="1313">
        <v>132506.595161089</v>
      </c>
      <c r="F1958" s="1314">
        <v>25.784726740523901</v>
      </c>
      <c r="G1958" s="1315">
        <v>2.0715684779245298</v>
      </c>
    </row>
    <row r="1959" spans="1:7" x14ac:dyDescent="0.25">
      <c r="A1959" s="11" t="s">
        <v>982</v>
      </c>
      <c r="B1959" s="11"/>
      <c r="C1959" s="1316">
        <v>204</v>
      </c>
      <c r="D1959" s="1316">
        <v>429859.990420477</v>
      </c>
      <c r="E1959" s="1317">
        <v>8.2760638930812896E-2</v>
      </c>
      <c r="F1959" s="1318">
        <v>97.708342389513803</v>
      </c>
      <c r="G1959" s="1319">
        <v>2.2434425285296</v>
      </c>
    </row>
    <row r="1960" spans="1:7" x14ac:dyDescent="0.25">
      <c r="A1960" s="6" t="s">
        <v>978</v>
      </c>
      <c r="B1960" s="6" t="s">
        <v>1047</v>
      </c>
      <c r="C1960" s="1312">
        <v>5</v>
      </c>
      <c r="D1960" s="1312">
        <v>10055.5031363167</v>
      </c>
      <c r="E1960" s="1313">
        <v>9913.2197551541194</v>
      </c>
      <c r="F1960" s="1314">
        <v>2.2856431518109002</v>
      </c>
      <c r="G1960" s="1315">
        <v>2.2378058426919401</v>
      </c>
    </row>
    <row r="1961" spans="1:7" x14ac:dyDescent="0.25">
      <c r="A1961" s="11" t="s">
        <v>980</v>
      </c>
      <c r="B1961" s="11" t="s">
        <v>1041</v>
      </c>
      <c r="C1961" s="1316">
        <v>1</v>
      </c>
      <c r="D1961" s="1316">
        <v>26.460126999385199</v>
      </c>
      <c r="E1961" s="1317">
        <v>26.578787442601101</v>
      </c>
      <c r="F1961" s="1318">
        <v>6.0144586752468197E-3</v>
      </c>
      <c r="G1961" s="1319">
        <v>6.0225742831578498E-3</v>
      </c>
    </row>
    <row r="1962" spans="1:7" x14ac:dyDescent="0.25">
      <c r="A1962" s="6" t="s">
        <v>6293</v>
      </c>
      <c r="B1962" s="6" t="s">
        <v>6294</v>
      </c>
      <c r="C1962" s="1312">
        <v>5871</v>
      </c>
      <c r="D1962" s="1312">
        <v>6388123.0463162102</v>
      </c>
      <c r="E1962" s="1313">
        <v>9938.1002939225691</v>
      </c>
      <c r="F1962" s="1314">
        <v>93.5568575623725</v>
      </c>
      <c r="G1962" s="1315">
        <v>0.145547827882758</v>
      </c>
    </row>
    <row r="1963" spans="1:7" x14ac:dyDescent="0.25">
      <c r="A1963" s="11" t="s">
        <v>6293</v>
      </c>
      <c r="B1963" s="11" t="s">
        <v>6295</v>
      </c>
      <c r="C1963" s="1316">
        <v>6081</v>
      </c>
      <c r="D1963" s="1316">
        <v>6828065</v>
      </c>
      <c r="E1963" s="1317">
        <v>0</v>
      </c>
      <c r="F1963" s="1318">
        <v>100</v>
      </c>
      <c r="G1963" s="1319">
        <v>0</v>
      </c>
    </row>
    <row r="1964" spans="1:7" x14ac:dyDescent="0.25">
      <c r="A1964" s="3353" t="s">
        <v>143</v>
      </c>
      <c r="B1964" s="3354"/>
      <c r="C1964" s="3354"/>
      <c r="D1964" s="3354"/>
      <c r="E1964" s="3354"/>
      <c r="F1964" s="3354"/>
      <c r="G1964" s="3354"/>
    </row>
    <row r="1965" spans="1:7" x14ac:dyDescent="0.25">
      <c r="A1965" s="11" t="s">
        <v>984</v>
      </c>
      <c r="B1965" s="11" t="s">
        <v>1061</v>
      </c>
      <c r="C1965" s="1324">
        <v>3984</v>
      </c>
      <c r="D1965" s="1324">
        <v>4511152.7789924303</v>
      </c>
      <c r="E1965" s="1325">
        <v>94098.6803592988</v>
      </c>
      <c r="F1965" s="1326">
        <v>95.152668409440196</v>
      </c>
      <c r="G1965" s="1327">
        <v>1.0811833959014601</v>
      </c>
    </row>
    <row r="1966" spans="1:7" x14ac:dyDescent="0.25">
      <c r="A1966" s="6" t="s">
        <v>986</v>
      </c>
      <c r="B1966" s="6" t="s">
        <v>1062</v>
      </c>
      <c r="C1966" s="1320">
        <v>228</v>
      </c>
      <c r="D1966" s="1320">
        <v>229810.19598271599</v>
      </c>
      <c r="E1966" s="1321">
        <v>56058.408185336499</v>
      </c>
      <c r="F1966" s="1322">
        <v>4.8473315905598504</v>
      </c>
      <c r="G1966" s="1323">
        <v>1.0811833959014601</v>
      </c>
    </row>
    <row r="1967" spans="1:7" x14ac:dyDescent="0.25">
      <c r="A1967" s="11" t="s">
        <v>982</v>
      </c>
      <c r="B1967" s="11" t="s">
        <v>983</v>
      </c>
      <c r="C1967" s="1324">
        <v>1869</v>
      </c>
      <c r="D1967" s="1324">
        <v>2087102.0250248599</v>
      </c>
      <c r="E1967" s="1325">
        <v>132011.84130872501</v>
      </c>
      <c r="F1967" s="1326">
        <v>100</v>
      </c>
      <c r="G1967" s="1327">
        <v>0</v>
      </c>
    </row>
    <row r="1968" spans="1:7" x14ac:dyDescent="0.25">
      <c r="A1968" s="6" t="s">
        <v>6293</v>
      </c>
      <c r="B1968" s="6" t="s">
        <v>6294</v>
      </c>
      <c r="C1968" s="1320">
        <v>4212</v>
      </c>
      <c r="D1968" s="1320">
        <v>4740962.9749751398</v>
      </c>
      <c r="E1968" s="1321">
        <v>132011.84130873499</v>
      </c>
      <c r="F1968" s="1322">
        <v>69.433477492893601</v>
      </c>
      <c r="G1968" s="1323">
        <v>1.9333711865473999</v>
      </c>
    </row>
    <row r="1969" spans="1:7" x14ac:dyDescent="0.25">
      <c r="A1969" s="11" t="s">
        <v>6293</v>
      </c>
      <c r="B1969" s="11" t="s">
        <v>6295</v>
      </c>
      <c r="C1969" s="1324">
        <v>6081</v>
      </c>
      <c r="D1969" s="1324">
        <v>6828065</v>
      </c>
      <c r="E1969" s="1325">
        <v>0</v>
      </c>
      <c r="F1969" s="1326">
        <v>100</v>
      </c>
      <c r="G1969" s="1327">
        <v>0</v>
      </c>
    </row>
    <row r="1970" spans="1:7" x14ac:dyDescent="0.25">
      <c r="A1970" s="3353" t="s">
        <v>135</v>
      </c>
      <c r="B1970" s="3354"/>
      <c r="C1970" s="3354"/>
      <c r="D1970" s="3354"/>
      <c r="E1970" s="3354"/>
      <c r="F1970" s="3354"/>
      <c r="G1970" s="3354"/>
    </row>
    <row r="1971" spans="1:7" x14ac:dyDescent="0.25">
      <c r="A1971" s="11" t="s">
        <v>1174</v>
      </c>
      <c r="B1971" s="11"/>
      <c r="C1971" s="1332">
        <v>2415</v>
      </c>
      <c r="D1971" s="1332">
        <v>2597279.9071036298</v>
      </c>
      <c r="E1971" s="1333">
        <v>72823.475279643404</v>
      </c>
      <c r="F1971" s="1334">
        <v>48.404162963312999</v>
      </c>
      <c r="G1971" s="1335">
        <v>1.3246067626598701</v>
      </c>
    </row>
    <row r="1972" spans="1:7" x14ac:dyDescent="0.25">
      <c r="A1972" s="6" t="s">
        <v>6298</v>
      </c>
      <c r="B1972" s="6"/>
      <c r="C1972" s="1328">
        <v>644</v>
      </c>
      <c r="D1972" s="1328">
        <v>713748.83919313597</v>
      </c>
      <c r="E1972" s="1329">
        <v>53535.183317663199</v>
      </c>
      <c r="F1972" s="1330">
        <v>13.3017681431598</v>
      </c>
      <c r="G1972" s="1331">
        <v>1.0127279714311901</v>
      </c>
    </row>
    <row r="1973" spans="1:7" x14ac:dyDescent="0.25">
      <c r="A1973" s="11" t="s">
        <v>6296</v>
      </c>
      <c r="B1973" s="11"/>
      <c r="C1973" s="1332">
        <v>678</v>
      </c>
      <c r="D1973" s="1332">
        <v>551506.88586873596</v>
      </c>
      <c r="E1973" s="1333">
        <v>42590.3574235591</v>
      </c>
      <c r="F1973" s="1334">
        <v>10.278148730126199</v>
      </c>
      <c r="G1973" s="1335">
        <v>0.78642109778801195</v>
      </c>
    </row>
    <row r="1974" spans="1:7" x14ac:dyDescent="0.25">
      <c r="A1974" s="6" t="s">
        <v>6297</v>
      </c>
      <c r="B1974" s="6"/>
      <c r="C1974" s="1328">
        <v>425</v>
      </c>
      <c r="D1974" s="1328">
        <v>380976.44008414599</v>
      </c>
      <c r="E1974" s="1329">
        <v>31479.417189032101</v>
      </c>
      <c r="F1974" s="1330">
        <v>7.1000609678532003</v>
      </c>
      <c r="G1974" s="1331">
        <v>0.58495946931409804</v>
      </c>
    </row>
    <row r="1975" spans="1:7" x14ac:dyDescent="0.25">
      <c r="A1975" s="11" t="s">
        <v>6299</v>
      </c>
      <c r="B1975" s="11"/>
      <c r="C1975" s="1332">
        <v>316</v>
      </c>
      <c r="D1975" s="1332">
        <v>312723.36330089002</v>
      </c>
      <c r="E1975" s="1333">
        <v>25198.0399182414</v>
      </c>
      <c r="F1975" s="1334">
        <v>5.8280636593118897</v>
      </c>
      <c r="G1975" s="1335">
        <v>0.47120187655093898</v>
      </c>
    </row>
    <row r="1976" spans="1:7" x14ac:dyDescent="0.25">
      <c r="A1976" s="6" t="s">
        <v>6300</v>
      </c>
      <c r="B1976" s="6"/>
      <c r="C1976" s="1328">
        <v>292</v>
      </c>
      <c r="D1976" s="1328">
        <v>270789.68848940299</v>
      </c>
      <c r="E1976" s="1329">
        <v>31215.050058761499</v>
      </c>
      <c r="F1976" s="1330">
        <v>5.0465674394880899</v>
      </c>
      <c r="G1976" s="1331">
        <v>0.57861814740441597</v>
      </c>
    </row>
    <row r="1977" spans="1:7" x14ac:dyDescent="0.25">
      <c r="A1977" s="11" t="s">
        <v>1017</v>
      </c>
      <c r="B1977" s="11"/>
      <c r="C1977" s="1332">
        <v>162</v>
      </c>
      <c r="D1977" s="1332">
        <v>161566.24445132801</v>
      </c>
      <c r="E1977" s="1333">
        <v>25918.877095004202</v>
      </c>
      <c r="F1977" s="1334">
        <v>3.0110265760741899</v>
      </c>
      <c r="G1977" s="1335">
        <v>0.48894647102647798</v>
      </c>
    </row>
    <row r="1978" spans="1:7" x14ac:dyDescent="0.25">
      <c r="A1978" s="6" t="s">
        <v>6301</v>
      </c>
      <c r="B1978" s="6"/>
      <c r="C1978" s="1328">
        <v>134</v>
      </c>
      <c r="D1978" s="1328">
        <v>85440.399740058099</v>
      </c>
      <c r="E1978" s="1329">
        <v>27551.2602419617</v>
      </c>
      <c r="F1978" s="1330">
        <v>1.5923085614905099</v>
      </c>
      <c r="G1978" s="1331">
        <v>0.51061990104528698</v>
      </c>
    </row>
    <row r="1979" spans="1:7" x14ac:dyDescent="0.25">
      <c r="A1979" s="11" t="s">
        <v>6302</v>
      </c>
      <c r="B1979" s="11"/>
      <c r="C1979" s="1332">
        <v>52</v>
      </c>
      <c r="D1979" s="1332">
        <v>84529.736361460993</v>
      </c>
      <c r="E1979" s="1333">
        <v>29137.201622609198</v>
      </c>
      <c r="F1979" s="1334">
        <v>1.57533699887156</v>
      </c>
      <c r="G1979" s="1335">
        <v>0.54064245424831203</v>
      </c>
    </row>
    <row r="1980" spans="1:7" x14ac:dyDescent="0.25">
      <c r="A1980" s="6" t="s">
        <v>1027</v>
      </c>
      <c r="B1980" s="6"/>
      <c r="C1980" s="1328">
        <v>51</v>
      </c>
      <c r="D1980" s="1328">
        <v>48925.689020381004</v>
      </c>
      <c r="E1980" s="1329">
        <v>16324.807438059001</v>
      </c>
      <c r="F1980" s="1330">
        <v>0.91180277410909105</v>
      </c>
      <c r="G1980" s="1331">
        <v>0.30341080339578602</v>
      </c>
    </row>
    <row r="1981" spans="1:7" x14ac:dyDescent="0.25">
      <c r="A1981" s="11" t="s">
        <v>6303</v>
      </c>
      <c r="B1981" s="11"/>
      <c r="C1981" s="1332">
        <v>64</v>
      </c>
      <c r="D1981" s="1332">
        <v>45601.294835408698</v>
      </c>
      <c r="E1981" s="1333">
        <v>17867.081146008099</v>
      </c>
      <c r="F1981" s="1334">
        <v>0.84984775823129599</v>
      </c>
      <c r="G1981" s="1335">
        <v>0.33390994259261397</v>
      </c>
    </row>
    <row r="1982" spans="1:7" x14ac:dyDescent="0.25">
      <c r="A1982" s="6" t="s">
        <v>1021</v>
      </c>
      <c r="B1982" s="6"/>
      <c r="C1982" s="1328">
        <v>41</v>
      </c>
      <c r="D1982" s="1328">
        <v>41146.1664199933</v>
      </c>
      <c r="E1982" s="1329">
        <v>13159.1735711404</v>
      </c>
      <c r="F1982" s="1330">
        <v>0.766819833034455</v>
      </c>
      <c r="G1982" s="1331">
        <v>0.246354513662986</v>
      </c>
    </row>
    <row r="1983" spans="1:7" x14ac:dyDescent="0.25">
      <c r="A1983" s="11" t="s">
        <v>1177</v>
      </c>
      <c r="B1983" s="11"/>
      <c r="C1983" s="1332">
        <v>40</v>
      </c>
      <c r="D1983" s="1332">
        <v>29408.943728623599</v>
      </c>
      <c r="E1983" s="1333">
        <v>19098.926793561801</v>
      </c>
      <c r="F1983" s="1334">
        <v>0.54807928129957995</v>
      </c>
      <c r="G1983" s="1335">
        <v>0.35589972695434502</v>
      </c>
    </row>
    <row r="1984" spans="1:7" x14ac:dyDescent="0.25">
      <c r="A1984" s="6" t="s">
        <v>1179</v>
      </c>
      <c r="B1984" s="6"/>
      <c r="C1984" s="1328">
        <v>6</v>
      </c>
      <c r="D1984" s="1328">
        <v>10722.438910622401</v>
      </c>
      <c r="E1984" s="1329">
        <v>7970.1688479882496</v>
      </c>
      <c r="F1984" s="1330">
        <v>0.19982855100616101</v>
      </c>
      <c r="G1984" s="1331">
        <v>0.148499554386398</v>
      </c>
    </row>
    <row r="1985" spans="1:7" x14ac:dyDescent="0.25">
      <c r="A1985" s="11" t="s">
        <v>1035</v>
      </c>
      <c r="B1985" s="11"/>
      <c r="C1985" s="1332">
        <v>1</v>
      </c>
      <c r="D1985" s="1332">
        <v>4673.5807973589399</v>
      </c>
      <c r="E1985" s="1333">
        <v>4852.3545556031004</v>
      </c>
      <c r="F1985" s="1334">
        <v>8.7099109310033396E-2</v>
      </c>
      <c r="G1985" s="1335">
        <v>9.0479846902162903E-2</v>
      </c>
    </row>
    <row r="1986" spans="1:7" x14ac:dyDescent="0.25">
      <c r="A1986" s="6" t="s">
        <v>3054</v>
      </c>
      <c r="B1986" s="6"/>
      <c r="C1986" s="1328">
        <v>11</v>
      </c>
      <c r="D1986" s="1328">
        <v>3751.2409202581098</v>
      </c>
      <c r="E1986" s="1329">
        <v>2386.5914419839801</v>
      </c>
      <c r="F1986" s="1330">
        <v>6.9909937824647703E-2</v>
      </c>
      <c r="G1986" s="1331">
        <v>4.4537741654235199E-2</v>
      </c>
    </row>
    <row r="1987" spans="1:7" x14ac:dyDescent="0.25">
      <c r="A1987" s="11" t="s">
        <v>1025</v>
      </c>
      <c r="B1987" s="11"/>
      <c r="C1987" s="1332">
        <v>6</v>
      </c>
      <c r="D1987" s="1332">
        <v>2865.2535563350102</v>
      </c>
      <c r="E1987" s="1333">
        <v>2766.4946116543802</v>
      </c>
      <c r="F1987" s="1334">
        <v>5.3398249334902399E-2</v>
      </c>
      <c r="G1987" s="1335">
        <v>5.1522856300981801E-2</v>
      </c>
    </row>
    <row r="1988" spans="1:7" x14ac:dyDescent="0.25">
      <c r="A1988" s="6" t="s">
        <v>1019</v>
      </c>
      <c r="B1988" s="6"/>
      <c r="C1988" s="1328">
        <v>6</v>
      </c>
      <c r="D1988" s="1328">
        <v>2381.4704184448001</v>
      </c>
      <c r="E1988" s="1329">
        <v>1869.8630888592099</v>
      </c>
      <c r="F1988" s="1330">
        <v>4.4382233086020698E-2</v>
      </c>
      <c r="G1988" s="1331">
        <v>3.4861780698240002E-2</v>
      </c>
    </row>
    <row r="1989" spans="1:7" x14ac:dyDescent="0.25">
      <c r="A1989" s="11" t="s">
        <v>1071</v>
      </c>
      <c r="B1989" s="11"/>
      <c r="C1989" s="1332">
        <v>3</v>
      </c>
      <c r="D1989" s="1332">
        <v>2320.0115394065301</v>
      </c>
      <c r="E1989" s="1333">
        <v>1603.49284022299</v>
      </c>
      <c r="F1989" s="1334">
        <v>4.3236855728588097E-2</v>
      </c>
      <c r="G1989" s="1335">
        <v>2.9909272266728001E-2</v>
      </c>
    </row>
    <row r="1990" spans="1:7" x14ac:dyDescent="0.25">
      <c r="A1990" s="6" t="s">
        <v>1023</v>
      </c>
      <c r="B1990" s="6"/>
      <c r="C1990" s="1328">
        <v>4</v>
      </c>
      <c r="D1990" s="1328">
        <v>2010.99861644366</v>
      </c>
      <c r="E1990" s="1329">
        <v>2049.5241145486002</v>
      </c>
      <c r="F1990" s="1330">
        <v>3.7477941627741602E-2</v>
      </c>
      <c r="G1990" s="1331">
        <v>3.8212553288661501E-2</v>
      </c>
    </row>
    <row r="1991" spans="1:7" x14ac:dyDescent="0.25">
      <c r="A1991" s="11" t="s">
        <v>1069</v>
      </c>
      <c r="B1991" s="11"/>
      <c r="C1991" s="1332">
        <v>3</v>
      </c>
      <c r="D1991" s="1332">
        <v>2010.2767914276501</v>
      </c>
      <c r="E1991" s="1333">
        <v>1444.0120331293899</v>
      </c>
      <c r="F1991" s="1334">
        <v>3.74644893480661E-2</v>
      </c>
      <c r="G1991" s="1335">
        <v>2.68923985714766E-2</v>
      </c>
    </row>
    <row r="1992" spans="1:7" x14ac:dyDescent="0.25">
      <c r="A1992" s="6" t="s">
        <v>3069</v>
      </c>
      <c r="B1992" s="6"/>
      <c r="C1992" s="1328">
        <v>1</v>
      </c>
      <c r="D1992" s="1328">
        <v>1760.9940819083799</v>
      </c>
      <c r="E1992" s="1329">
        <v>1867.5675656742501</v>
      </c>
      <c r="F1992" s="1330">
        <v>3.2818736357598903E-2</v>
      </c>
      <c r="G1992" s="1331">
        <v>3.4818004661993703E-2</v>
      </c>
    </row>
    <row r="1993" spans="1:7" x14ac:dyDescent="0.25">
      <c r="A1993" s="11" t="s">
        <v>1073</v>
      </c>
      <c r="B1993" s="11"/>
      <c r="C1993" s="1332">
        <v>1</v>
      </c>
      <c r="D1993" s="1332">
        <v>1466.78285880723</v>
      </c>
      <c r="E1993" s="1333">
        <v>1523.6409265944601</v>
      </c>
      <c r="F1993" s="1334">
        <v>2.7335673885327798E-2</v>
      </c>
      <c r="G1993" s="1335">
        <v>2.8423205552991399E-2</v>
      </c>
    </row>
    <row r="1994" spans="1:7" x14ac:dyDescent="0.25">
      <c r="A1994" s="6" t="s">
        <v>1031</v>
      </c>
      <c r="B1994" s="6"/>
      <c r="C1994" s="1328">
        <v>3</v>
      </c>
      <c r="D1994" s="1328">
        <v>1428.8283800730201</v>
      </c>
      <c r="E1994" s="1329">
        <v>1299.8085145975001</v>
      </c>
      <c r="F1994" s="1330">
        <v>2.6628335885748401E-2</v>
      </c>
      <c r="G1994" s="1331">
        <v>2.4205825089907599E-2</v>
      </c>
    </row>
    <row r="1995" spans="1:7" x14ac:dyDescent="0.25">
      <c r="A1995" s="11" t="s">
        <v>1033</v>
      </c>
      <c r="B1995" s="11"/>
      <c r="C1995" s="1332">
        <v>1</v>
      </c>
      <c r="D1995" s="1332">
        <v>1257.0576051165301</v>
      </c>
      <c r="E1995" s="1333">
        <v>1321.18703234737</v>
      </c>
      <c r="F1995" s="1334">
        <v>2.34271327498876E-2</v>
      </c>
      <c r="G1995" s="1335">
        <v>2.46056564342007E-2</v>
      </c>
    </row>
    <row r="1996" spans="1:7" x14ac:dyDescent="0.25">
      <c r="A1996" s="6" t="s">
        <v>1075</v>
      </c>
      <c r="B1996" s="6"/>
      <c r="C1996" s="1328">
        <v>1</v>
      </c>
      <c r="D1996" s="1328">
        <v>1232.6271601165699</v>
      </c>
      <c r="E1996" s="1329">
        <v>1232.6816110617499</v>
      </c>
      <c r="F1996" s="1330">
        <v>2.2971835175756301E-2</v>
      </c>
      <c r="G1996" s="1331">
        <v>2.2976244155972499E-2</v>
      </c>
    </row>
    <row r="1997" spans="1:7" x14ac:dyDescent="0.25">
      <c r="A1997" s="11" t="s">
        <v>1087</v>
      </c>
      <c r="B1997" s="11"/>
      <c r="C1997" s="1332">
        <v>1</v>
      </c>
      <c r="D1997" s="1332">
        <v>1177.0642428677299</v>
      </c>
      <c r="E1997" s="1333">
        <v>1200.9315343164201</v>
      </c>
      <c r="F1997" s="1334">
        <v>2.1936337810272401E-2</v>
      </c>
      <c r="G1997" s="1335">
        <v>2.2382230551190901E-2</v>
      </c>
    </row>
    <row r="1998" spans="1:7" x14ac:dyDescent="0.25">
      <c r="A1998" s="6" t="s">
        <v>6304</v>
      </c>
      <c r="B1998" s="6"/>
      <c r="C1998" s="1328">
        <v>8</v>
      </c>
      <c r="D1998" s="1328">
        <v>1160.9850954615999</v>
      </c>
      <c r="E1998" s="1329">
        <v>801.51472860359195</v>
      </c>
      <c r="F1998" s="1330">
        <v>2.1636679052188999E-2</v>
      </c>
      <c r="G1998" s="1331">
        <v>1.49544449049732E-2</v>
      </c>
    </row>
    <row r="1999" spans="1:7" x14ac:dyDescent="0.25">
      <c r="A1999" s="11" t="s">
        <v>1029</v>
      </c>
      <c r="B1999" s="11"/>
      <c r="C1999" s="1332">
        <v>2</v>
      </c>
      <c r="D1999" s="1332">
        <v>646.48556748958504</v>
      </c>
      <c r="E1999" s="1333">
        <v>669.25570577750398</v>
      </c>
      <c r="F1999" s="1334">
        <v>1.2048217320208599E-2</v>
      </c>
      <c r="G1999" s="1335">
        <v>1.2474475095968199E-2</v>
      </c>
    </row>
    <row r="2000" spans="1:7" x14ac:dyDescent="0.25">
      <c r="A2000" s="6" t="s">
        <v>3077</v>
      </c>
      <c r="B2000" s="6"/>
      <c r="C2000" s="1328">
        <v>1</v>
      </c>
      <c r="D2000" s="1328">
        <v>628.42544851911703</v>
      </c>
      <c r="E2000" s="1329">
        <v>658.41506175564496</v>
      </c>
      <c r="F2000" s="1330">
        <v>1.17116402191451E-2</v>
      </c>
      <c r="G2000" s="1331">
        <v>1.2272087098492699E-2</v>
      </c>
    </row>
    <row r="2001" spans="1:7" x14ac:dyDescent="0.25">
      <c r="A2001" s="11" t="s">
        <v>3062</v>
      </c>
      <c r="B2001" s="11"/>
      <c r="C2001" s="1332">
        <v>2</v>
      </c>
      <c r="D2001" s="1332">
        <v>395.67307863556499</v>
      </c>
      <c r="E2001" s="1333">
        <v>407.15391835258498</v>
      </c>
      <c r="F2001" s="1334">
        <v>7.3739546231000397E-3</v>
      </c>
      <c r="G2001" s="1335">
        <v>7.5924955226116904E-3</v>
      </c>
    </row>
    <row r="2002" spans="1:7" x14ac:dyDescent="0.25">
      <c r="A2002" s="6" t="s">
        <v>1183</v>
      </c>
      <c r="B2002" s="6"/>
      <c r="C2002" s="1328">
        <v>1</v>
      </c>
      <c r="D2002" s="1328">
        <v>123.25879593548299</v>
      </c>
      <c r="E2002" s="1329">
        <v>124.59916825979199</v>
      </c>
      <c r="F2002" s="1330">
        <v>2.2971104611424599E-3</v>
      </c>
      <c r="G2002" s="1331">
        <v>2.3236571434981602E-3</v>
      </c>
    </row>
    <row r="2003" spans="1:7" x14ac:dyDescent="0.25">
      <c r="A2003" s="11" t="s">
        <v>1181</v>
      </c>
      <c r="B2003" s="11"/>
      <c r="C2003" s="1332">
        <v>1</v>
      </c>
      <c r="D2003" s="1332">
        <v>64.390602828447399</v>
      </c>
      <c r="E2003" s="1333">
        <v>67.970489365682795</v>
      </c>
      <c r="F2003" s="1334">
        <v>1.20001437815373E-3</v>
      </c>
      <c r="G2003" s="1335">
        <v>1.26795810734094E-3</v>
      </c>
    </row>
    <row r="2004" spans="1:7" x14ac:dyDescent="0.25">
      <c r="A2004" s="6" t="s">
        <v>3060</v>
      </c>
      <c r="B2004" s="6"/>
      <c r="C2004" s="1328">
        <v>1</v>
      </c>
      <c r="D2004" s="1328">
        <v>56.515234803586402</v>
      </c>
      <c r="E2004" s="1329">
        <v>55.016050042036603</v>
      </c>
      <c r="F2004" s="1330">
        <v>1.05324521545053E-3</v>
      </c>
      <c r="G2004" s="1331">
        <v>1.0251183174193E-3</v>
      </c>
    </row>
    <row r="2005" spans="1:7" x14ac:dyDescent="0.25">
      <c r="A2005" s="11" t="s">
        <v>1103</v>
      </c>
      <c r="B2005" s="11"/>
      <c r="C2005" s="1332">
        <v>1</v>
      </c>
      <c r="D2005" s="1332">
        <v>41.318591871543298</v>
      </c>
      <c r="E2005" s="1333">
        <v>43.021290835248202</v>
      </c>
      <c r="F2005" s="1334">
        <v>7.7003323703955405E-4</v>
      </c>
      <c r="G2005" s="1335">
        <v>8.0232857127310396E-4</v>
      </c>
    </row>
    <row r="2006" spans="1:7" x14ac:dyDescent="0.25">
      <c r="A2006" s="6" t="s">
        <v>982</v>
      </c>
      <c r="B2006" s="6" t="s">
        <v>983</v>
      </c>
      <c r="C2006" s="1328">
        <v>695</v>
      </c>
      <c r="D2006" s="1328">
        <v>1459738.4509998499</v>
      </c>
      <c r="E2006" s="1329">
        <v>23352.768441193501</v>
      </c>
      <c r="F2006" s="1330">
        <v>99.828532778820502</v>
      </c>
      <c r="G2006" s="1331">
        <v>0.133526589856234</v>
      </c>
    </row>
    <row r="2007" spans="1:7" x14ac:dyDescent="0.25">
      <c r="A2007" s="11" t="s">
        <v>978</v>
      </c>
      <c r="B2007" s="11" t="s">
        <v>1047</v>
      </c>
      <c r="C2007" s="1332">
        <v>2</v>
      </c>
      <c r="D2007" s="1332">
        <v>1841.85713549653</v>
      </c>
      <c r="E2007" s="1333">
        <v>1676.2101318523701</v>
      </c>
      <c r="F2007" s="1334">
        <v>0.125960849561014</v>
      </c>
      <c r="G2007" s="1335">
        <v>0.11464602113144901</v>
      </c>
    </row>
    <row r="2008" spans="1:7" x14ac:dyDescent="0.25">
      <c r="A2008" s="6" t="s">
        <v>980</v>
      </c>
      <c r="B2008" s="6" t="s">
        <v>1041</v>
      </c>
      <c r="C2008" s="1328">
        <v>5</v>
      </c>
      <c r="D2008" s="1328">
        <v>665.41497273284801</v>
      </c>
      <c r="E2008" s="1329">
        <v>453.83512191267903</v>
      </c>
      <c r="F2008" s="1330">
        <v>4.5506371618476898E-2</v>
      </c>
      <c r="G2008" s="1331">
        <v>3.1074790500960101E-2</v>
      </c>
    </row>
    <row r="2009" spans="1:7" x14ac:dyDescent="0.25">
      <c r="A2009" s="11" t="s">
        <v>6293</v>
      </c>
      <c r="B2009" s="11" t="s">
        <v>6294</v>
      </c>
      <c r="C2009" s="1332">
        <v>5379</v>
      </c>
      <c r="D2009" s="1332">
        <v>5365819.27689193</v>
      </c>
      <c r="E2009" s="1333">
        <v>22544.937428034798</v>
      </c>
      <c r="F2009" s="1334">
        <v>78.584771481992703</v>
      </c>
      <c r="G2009" s="1335">
        <v>0.33018047467381001</v>
      </c>
    </row>
    <row r="2010" spans="1:7" x14ac:dyDescent="0.25">
      <c r="A2010" s="6" t="s">
        <v>6293</v>
      </c>
      <c r="B2010" s="6" t="s">
        <v>6295</v>
      </c>
      <c r="C2010" s="1328">
        <v>6081</v>
      </c>
      <c r="D2010" s="1328">
        <v>6828065</v>
      </c>
      <c r="E2010" s="1329">
        <v>0</v>
      </c>
      <c r="F2010" s="1330">
        <v>100</v>
      </c>
      <c r="G2010" s="1331">
        <v>0</v>
      </c>
    </row>
    <row r="2011" spans="1:7" x14ac:dyDescent="0.25">
      <c r="A2011" s="3353" t="s">
        <v>395</v>
      </c>
      <c r="B2011" s="3354"/>
      <c r="C2011" s="3354"/>
      <c r="D2011" s="3354"/>
      <c r="E2011" s="3354"/>
      <c r="F2011" s="3354"/>
      <c r="G2011" s="3354"/>
    </row>
    <row r="2012" spans="1:7" x14ac:dyDescent="0.25">
      <c r="A2012" s="11" t="s">
        <v>986</v>
      </c>
      <c r="B2012" s="11" t="s">
        <v>1062</v>
      </c>
      <c r="C2012" s="1340">
        <v>5153</v>
      </c>
      <c r="D2012" s="1340">
        <v>5828294.4678087803</v>
      </c>
      <c r="E2012" s="1341">
        <v>71690.965096613203</v>
      </c>
      <c r="F2012" s="1342">
        <v>91.229464652985797</v>
      </c>
      <c r="G2012" s="1343">
        <v>1.1185201163702501</v>
      </c>
    </row>
    <row r="2013" spans="1:7" x14ac:dyDescent="0.25">
      <c r="A2013" s="6" t="s">
        <v>984</v>
      </c>
      <c r="B2013" s="6" t="s">
        <v>1061</v>
      </c>
      <c r="C2013" s="1336">
        <v>722</v>
      </c>
      <c r="D2013" s="1336">
        <v>560315.27574080904</v>
      </c>
      <c r="E2013" s="1337">
        <v>71482.259314692405</v>
      </c>
      <c r="F2013" s="1338">
        <v>8.7705353470141798</v>
      </c>
      <c r="G2013" s="1339">
        <v>1.1185201163702601</v>
      </c>
    </row>
    <row r="2014" spans="1:7" x14ac:dyDescent="0.25">
      <c r="A2014" s="11" t="s">
        <v>982</v>
      </c>
      <c r="B2014" s="11"/>
      <c r="C2014" s="1340">
        <v>204</v>
      </c>
      <c r="D2014" s="1340">
        <v>429859.990420477</v>
      </c>
      <c r="E2014" s="1341">
        <v>8.2760638930812896E-2</v>
      </c>
      <c r="F2014" s="1342">
        <v>97.816554498075902</v>
      </c>
      <c r="G2014" s="1343">
        <v>2.1816961336749099</v>
      </c>
    </row>
    <row r="2015" spans="1:7" x14ac:dyDescent="0.25">
      <c r="A2015" s="6" t="s">
        <v>978</v>
      </c>
      <c r="B2015" s="6" t="s">
        <v>1047</v>
      </c>
      <c r="C2015" s="1336">
        <v>1</v>
      </c>
      <c r="D2015" s="1336">
        <v>9565.3042953122094</v>
      </c>
      <c r="E2015" s="1337">
        <v>9623.96519029316</v>
      </c>
      <c r="F2015" s="1338">
        <v>2.17662757582502</v>
      </c>
      <c r="G2015" s="1339">
        <v>2.1816192092575801</v>
      </c>
    </row>
    <row r="2016" spans="1:7" x14ac:dyDescent="0.25">
      <c r="A2016" s="11" t="s">
        <v>980</v>
      </c>
      <c r="B2016" s="11" t="s">
        <v>1041</v>
      </c>
      <c r="C2016" s="1340">
        <v>1</v>
      </c>
      <c r="D2016" s="1340">
        <v>29.961734623370699</v>
      </c>
      <c r="E2016" s="1341">
        <v>30.685338525871</v>
      </c>
      <c r="F2016" s="1342">
        <v>6.8179260990934498E-3</v>
      </c>
      <c r="G2016" s="1343">
        <v>6.9787509882126902E-3</v>
      </c>
    </row>
    <row r="2017" spans="1:7" x14ac:dyDescent="0.25">
      <c r="A2017" s="6" t="s">
        <v>6293</v>
      </c>
      <c r="B2017" s="6" t="s">
        <v>6294</v>
      </c>
      <c r="C2017" s="1336">
        <v>5875</v>
      </c>
      <c r="D2017" s="1336">
        <v>6388609.74354959</v>
      </c>
      <c r="E2017" s="1337">
        <v>9624.9982211746992</v>
      </c>
      <c r="F2017" s="1338">
        <v>93.563985456342095</v>
      </c>
      <c r="G2017" s="1339">
        <v>0.140962311008763</v>
      </c>
    </row>
    <row r="2018" spans="1:7" x14ac:dyDescent="0.25">
      <c r="A2018" s="11" t="s">
        <v>6293</v>
      </c>
      <c r="B2018" s="11" t="s">
        <v>6295</v>
      </c>
      <c r="C2018" s="1340">
        <v>6081</v>
      </c>
      <c r="D2018" s="1340">
        <v>6828065</v>
      </c>
      <c r="E2018" s="1341">
        <v>0</v>
      </c>
      <c r="F2018" s="1342">
        <v>100</v>
      </c>
      <c r="G2018" s="1343">
        <v>0</v>
      </c>
    </row>
    <row r="2019" spans="1:7" x14ac:dyDescent="0.25">
      <c r="A2019" s="3353" t="s">
        <v>398</v>
      </c>
      <c r="B2019" s="3354"/>
      <c r="C2019" s="3354"/>
      <c r="D2019" s="3354"/>
      <c r="E2019" s="3354"/>
      <c r="F2019" s="3354"/>
      <c r="G2019" s="3354"/>
    </row>
    <row r="2020" spans="1:7" x14ac:dyDescent="0.25">
      <c r="A2020" s="11" t="s">
        <v>986</v>
      </c>
      <c r="B2020" s="11" t="s">
        <v>3258</v>
      </c>
      <c r="C2020" s="1348">
        <v>621</v>
      </c>
      <c r="D2020" s="1348">
        <v>455568.78366266697</v>
      </c>
      <c r="E2020" s="1349">
        <v>62997.805067834401</v>
      </c>
      <c r="F2020" s="1350">
        <v>81.305793967574303</v>
      </c>
      <c r="G2020" s="1351">
        <v>3.35808467775855</v>
      </c>
    </row>
    <row r="2021" spans="1:7" x14ac:dyDescent="0.25">
      <c r="A2021" s="6" t="s">
        <v>988</v>
      </c>
      <c r="B2021" s="6" t="s">
        <v>3259</v>
      </c>
      <c r="C2021" s="1344">
        <v>53</v>
      </c>
      <c r="D2021" s="1344">
        <v>71634.551781676404</v>
      </c>
      <c r="E2021" s="1345">
        <v>21896.1460193362</v>
      </c>
      <c r="F2021" s="1346">
        <v>12.7846865654281</v>
      </c>
      <c r="G2021" s="1347">
        <v>3.6502077143762901</v>
      </c>
    </row>
    <row r="2022" spans="1:7" x14ac:dyDescent="0.25">
      <c r="A2022" s="11" t="s">
        <v>984</v>
      </c>
      <c r="B2022" s="11" t="s">
        <v>3257</v>
      </c>
      <c r="C2022" s="1348">
        <v>48</v>
      </c>
      <c r="D2022" s="1348">
        <v>33111.9402964646</v>
      </c>
      <c r="E2022" s="1349">
        <v>11524.861123378299</v>
      </c>
      <c r="F2022" s="1350">
        <v>5.9095194669976401</v>
      </c>
      <c r="G2022" s="1351">
        <v>2.0088680122155198</v>
      </c>
    </row>
    <row r="2023" spans="1:7" x14ac:dyDescent="0.25">
      <c r="A2023" s="6" t="s">
        <v>982</v>
      </c>
      <c r="B2023" s="6" t="s">
        <v>983</v>
      </c>
      <c r="C2023" s="1344">
        <v>5359</v>
      </c>
      <c r="D2023" s="1344">
        <v>6267749.7242591996</v>
      </c>
      <c r="E2023" s="1345">
        <v>71482.259314685405</v>
      </c>
      <c r="F2023" s="1346">
        <v>100</v>
      </c>
      <c r="G2023" s="1347">
        <v>0</v>
      </c>
    </row>
    <row r="2024" spans="1:7" x14ac:dyDescent="0.25">
      <c r="A2024" s="11" t="s">
        <v>6293</v>
      </c>
      <c r="B2024" s="11" t="s">
        <v>6294</v>
      </c>
      <c r="C2024" s="1348">
        <v>722</v>
      </c>
      <c r="D2024" s="1348">
        <v>560315.27574080799</v>
      </c>
      <c r="E2024" s="1349">
        <v>71482.259314692303</v>
      </c>
      <c r="F2024" s="1350">
        <v>8.2060624165236806</v>
      </c>
      <c r="G2024" s="1351">
        <v>1.04688896949123</v>
      </c>
    </row>
    <row r="2025" spans="1:7" x14ac:dyDescent="0.25">
      <c r="A2025" s="6" t="s">
        <v>6293</v>
      </c>
      <c r="B2025" s="6" t="s">
        <v>6295</v>
      </c>
      <c r="C2025" s="1344">
        <v>6081</v>
      </c>
      <c r="D2025" s="1344">
        <v>6828065.0000000102</v>
      </c>
      <c r="E2025" s="1345">
        <v>0</v>
      </c>
      <c r="F2025" s="1346">
        <v>100</v>
      </c>
      <c r="G2025" s="1347">
        <v>0</v>
      </c>
    </row>
    <row r="2026" spans="1:7" x14ac:dyDescent="0.25">
      <c r="A2026" s="3353" t="s">
        <v>228</v>
      </c>
      <c r="B2026" s="3354"/>
      <c r="C2026" s="3354"/>
      <c r="D2026" s="3354"/>
      <c r="E2026" s="3354"/>
      <c r="F2026" s="3354"/>
      <c r="G2026" s="3354"/>
    </row>
    <row r="2027" spans="1:7" x14ac:dyDescent="0.25">
      <c r="A2027" s="11" t="s">
        <v>986</v>
      </c>
      <c r="B2027" s="11" t="s">
        <v>1211</v>
      </c>
      <c r="C2027" s="1356">
        <v>2120</v>
      </c>
      <c r="D2027" s="1356">
        <v>2398568.3512960202</v>
      </c>
      <c r="E2027" s="1357">
        <v>98429.6988516969</v>
      </c>
      <c r="F2027" s="1358">
        <v>37.493527182551396</v>
      </c>
      <c r="G2027" s="1359">
        <v>1.5394380454066301</v>
      </c>
    </row>
    <row r="2028" spans="1:7" x14ac:dyDescent="0.25">
      <c r="A2028" s="6" t="s">
        <v>984</v>
      </c>
      <c r="B2028" s="6" t="s">
        <v>1210</v>
      </c>
      <c r="C2028" s="1352">
        <v>1511</v>
      </c>
      <c r="D2028" s="1352">
        <v>1894821.6589206599</v>
      </c>
      <c r="E2028" s="1353">
        <v>99754.834793517104</v>
      </c>
      <c r="F2028" s="1354">
        <v>29.6191464948005</v>
      </c>
      <c r="G2028" s="1355">
        <v>1.55973129126758</v>
      </c>
    </row>
    <row r="2029" spans="1:7" x14ac:dyDescent="0.25">
      <c r="A2029" s="11" t="s">
        <v>988</v>
      </c>
      <c r="B2029" s="11" t="s">
        <v>1212</v>
      </c>
      <c r="C2029" s="1356">
        <v>1535</v>
      </c>
      <c r="D2029" s="1356">
        <v>1490024.77516358</v>
      </c>
      <c r="E2029" s="1357">
        <v>81354.2609202803</v>
      </c>
      <c r="F2029" s="1358">
        <v>23.2915123640669</v>
      </c>
      <c r="G2029" s="1359">
        <v>1.2702022933410699</v>
      </c>
    </row>
    <row r="2030" spans="1:7" x14ac:dyDescent="0.25">
      <c r="A2030" s="6" t="s">
        <v>990</v>
      </c>
      <c r="B2030" s="6" t="s">
        <v>1213</v>
      </c>
      <c r="C2030" s="1352">
        <v>546</v>
      </c>
      <c r="D2030" s="1352">
        <v>460108.22239797498</v>
      </c>
      <c r="E2030" s="1353">
        <v>43141.588025271303</v>
      </c>
      <c r="F2030" s="1354">
        <v>7.1922403770868399</v>
      </c>
      <c r="G2030" s="1355">
        <v>0.67478417790066603</v>
      </c>
    </row>
    <row r="2031" spans="1:7" x14ac:dyDescent="0.25">
      <c r="A2031" s="11" t="s">
        <v>992</v>
      </c>
      <c r="B2031" s="11" t="s">
        <v>1214</v>
      </c>
      <c r="C2031" s="1356">
        <v>161</v>
      </c>
      <c r="D2031" s="1356">
        <v>153763.48814860801</v>
      </c>
      <c r="E2031" s="1357">
        <v>39908.680105512001</v>
      </c>
      <c r="F2031" s="1358">
        <v>2.4035735814944199</v>
      </c>
      <c r="G2031" s="1359">
        <v>0.62380015183417803</v>
      </c>
    </row>
    <row r="2032" spans="1:7" x14ac:dyDescent="0.25">
      <c r="A2032" s="6" t="s">
        <v>982</v>
      </c>
      <c r="B2032" s="6"/>
      <c r="C2032" s="1352">
        <v>204</v>
      </c>
      <c r="D2032" s="1352">
        <v>429859.990420477</v>
      </c>
      <c r="E2032" s="1353">
        <v>8.2760638930812896E-2</v>
      </c>
      <c r="F2032" s="1354">
        <v>99.786778206435301</v>
      </c>
      <c r="G2032" s="1355">
        <v>0.22038150246709901</v>
      </c>
    </row>
    <row r="2033" spans="1:7" x14ac:dyDescent="0.25">
      <c r="A2033" s="11" t="s">
        <v>980</v>
      </c>
      <c r="B2033" s="11" t="s">
        <v>1041</v>
      </c>
      <c r="C2033" s="1356">
        <v>3</v>
      </c>
      <c r="D2033" s="1356">
        <v>474.23769364975999</v>
      </c>
      <c r="E2033" s="1357">
        <v>474.64959351187099</v>
      </c>
      <c r="F2033" s="1358">
        <v>0.110088523258632</v>
      </c>
      <c r="G2033" s="1359">
        <v>0.110086625921959</v>
      </c>
    </row>
    <row r="2034" spans="1:7" x14ac:dyDescent="0.25">
      <c r="A2034" s="6" t="s">
        <v>978</v>
      </c>
      <c r="B2034" s="6" t="s">
        <v>979</v>
      </c>
      <c r="C2034" s="1352">
        <v>1</v>
      </c>
      <c r="D2034" s="1352">
        <v>444.27595902638899</v>
      </c>
      <c r="E2034" s="1353">
        <v>475.954947845839</v>
      </c>
      <c r="F2034" s="1354">
        <v>0.103133270306112</v>
      </c>
      <c r="G2034" s="1355">
        <v>0.11040968139514901</v>
      </c>
    </row>
    <row r="2035" spans="1:7" x14ac:dyDescent="0.25">
      <c r="A2035" s="11" t="s">
        <v>6293</v>
      </c>
      <c r="B2035" s="11" t="s">
        <v>6294</v>
      </c>
      <c r="C2035" s="1356">
        <v>5873</v>
      </c>
      <c r="D2035" s="1356">
        <v>6397286.4959268495</v>
      </c>
      <c r="E2035" s="1357">
        <v>950.11244833857495</v>
      </c>
      <c r="F2035" s="1358">
        <v>93.691060291998497</v>
      </c>
      <c r="G2035" s="1359">
        <v>1.3914812590994301E-2</v>
      </c>
    </row>
    <row r="2036" spans="1:7" x14ac:dyDescent="0.25">
      <c r="A2036" s="6" t="s">
        <v>6293</v>
      </c>
      <c r="B2036" s="6" t="s">
        <v>6295</v>
      </c>
      <c r="C2036" s="1352">
        <v>6081</v>
      </c>
      <c r="D2036" s="1352">
        <v>6828065.0000000102</v>
      </c>
      <c r="E2036" s="1353">
        <v>0</v>
      </c>
      <c r="F2036" s="1354">
        <v>100</v>
      </c>
      <c r="G2036" s="1355">
        <v>0</v>
      </c>
    </row>
    <row r="2037" spans="1:7" x14ac:dyDescent="0.25">
      <c r="A2037" s="3353" t="s">
        <v>498</v>
      </c>
      <c r="B2037" s="3354"/>
      <c r="C2037" s="3354"/>
      <c r="D2037" s="3354"/>
      <c r="E2037" s="3354"/>
      <c r="F2037" s="3354"/>
      <c r="G2037" s="3354"/>
    </row>
    <row r="2038" spans="1:7" x14ac:dyDescent="0.25">
      <c r="A2038" s="11" t="s">
        <v>986</v>
      </c>
      <c r="B2038" s="11" t="s">
        <v>6000</v>
      </c>
      <c r="C2038" s="1364">
        <v>3783</v>
      </c>
      <c r="D2038" s="1364">
        <v>3671208.9921683399</v>
      </c>
      <c r="E2038" s="1365">
        <v>107852.618934214</v>
      </c>
      <c r="F2038" s="1366">
        <v>57.526703962006799</v>
      </c>
      <c r="G2038" s="1367">
        <v>1.65649420377371</v>
      </c>
    </row>
    <row r="2039" spans="1:7" x14ac:dyDescent="0.25">
      <c r="A2039" s="6" t="s">
        <v>988</v>
      </c>
      <c r="B2039" s="6" t="s">
        <v>6001</v>
      </c>
      <c r="C2039" s="1360">
        <v>1432</v>
      </c>
      <c r="D2039" s="1360">
        <v>1804825.86716846</v>
      </c>
      <c r="E2039" s="1361">
        <v>107662.73272113199</v>
      </c>
      <c r="F2039" s="1362">
        <v>28.281060431334701</v>
      </c>
      <c r="G2039" s="1363">
        <v>1.70347476994546</v>
      </c>
    </row>
    <row r="2040" spans="1:7" x14ac:dyDescent="0.25">
      <c r="A2040" s="11" t="s">
        <v>984</v>
      </c>
      <c r="B2040" s="11" t="s">
        <v>5999</v>
      </c>
      <c r="C2040" s="1364">
        <v>653</v>
      </c>
      <c r="D2040" s="1364">
        <v>905712.64108139195</v>
      </c>
      <c r="E2040" s="1365">
        <v>51441.261840961801</v>
      </c>
      <c r="F2040" s="1366">
        <v>14.1922356066585</v>
      </c>
      <c r="G2040" s="1367">
        <v>0.80466352279568898</v>
      </c>
    </row>
    <row r="2041" spans="1:7" x14ac:dyDescent="0.25">
      <c r="A2041" s="6" t="s">
        <v>982</v>
      </c>
      <c r="B2041" s="6"/>
      <c r="C2041" s="1360">
        <v>204</v>
      </c>
      <c r="D2041" s="1360">
        <v>429859.990420477</v>
      </c>
      <c r="E2041" s="1361">
        <v>8.2760638930812896E-2</v>
      </c>
      <c r="F2041" s="1362">
        <v>96.312600519418993</v>
      </c>
      <c r="G2041" s="1363">
        <v>1.7674998140954501</v>
      </c>
    </row>
    <row r="2042" spans="1:7" x14ac:dyDescent="0.25">
      <c r="A2042" s="11" t="s">
        <v>978</v>
      </c>
      <c r="B2042" s="11" t="s">
        <v>979</v>
      </c>
      <c r="C2042" s="1364">
        <v>5</v>
      </c>
      <c r="D2042" s="1364">
        <v>15263.6874150731</v>
      </c>
      <c r="E2042" s="1365">
        <v>8138.2224580526499</v>
      </c>
      <c r="F2042" s="1366">
        <v>3.4199168594947098</v>
      </c>
      <c r="G2042" s="1367">
        <v>1.77023977398585</v>
      </c>
    </row>
    <row r="2043" spans="1:7" x14ac:dyDescent="0.25">
      <c r="A2043" s="6" t="s">
        <v>980</v>
      </c>
      <c r="B2043" s="6" t="s">
        <v>981</v>
      </c>
      <c r="C2043" s="1360">
        <v>4</v>
      </c>
      <c r="D2043" s="1360">
        <v>1193.8217462479399</v>
      </c>
      <c r="E2043" s="1361">
        <v>869.73445389592405</v>
      </c>
      <c r="F2043" s="1362">
        <v>0.26748262108623599</v>
      </c>
      <c r="G2043" s="1363">
        <v>0.194026922163343</v>
      </c>
    </row>
    <row r="2044" spans="1:7" x14ac:dyDescent="0.25">
      <c r="A2044" s="11" t="s">
        <v>6293</v>
      </c>
      <c r="B2044" s="11" t="s">
        <v>6294</v>
      </c>
      <c r="C2044" s="1364">
        <v>5868</v>
      </c>
      <c r="D2044" s="1364">
        <v>6381747.5004181899</v>
      </c>
      <c r="E2044" s="1365">
        <v>8157.1381711703298</v>
      </c>
      <c r="F2044" s="1366">
        <v>93.463484902651103</v>
      </c>
      <c r="G2044" s="1367">
        <v>0.11946485821635799</v>
      </c>
    </row>
    <row r="2045" spans="1:7" x14ac:dyDescent="0.25">
      <c r="A2045" s="6" t="s">
        <v>6293</v>
      </c>
      <c r="B2045" s="6" t="s">
        <v>6295</v>
      </c>
      <c r="C2045" s="1360">
        <v>6081</v>
      </c>
      <c r="D2045" s="1360">
        <v>6828064.9999999898</v>
      </c>
      <c r="E2045" s="1361">
        <v>0</v>
      </c>
      <c r="F2045" s="1362">
        <v>100</v>
      </c>
      <c r="G2045" s="1363">
        <v>0</v>
      </c>
    </row>
    <row r="2046" spans="1:7" x14ac:dyDescent="0.25">
      <c r="A2046" s="3353" t="s">
        <v>848</v>
      </c>
      <c r="B2046" s="3354"/>
      <c r="C2046" s="3354"/>
      <c r="D2046" s="3354"/>
      <c r="E2046" s="3354"/>
      <c r="F2046" s="3354"/>
      <c r="G2046" s="3354"/>
    </row>
    <row r="2047" spans="1:7" x14ac:dyDescent="0.25">
      <c r="A2047" s="11" t="s">
        <v>6299</v>
      </c>
      <c r="B2047" s="11"/>
      <c r="C2047" s="1372">
        <v>366</v>
      </c>
      <c r="D2047" s="1372">
        <v>514826.23784356401</v>
      </c>
      <c r="E2047" s="1373">
        <v>47852.560447754498</v>
      </c>
      <c r="F2047" s="1374">
        <v>28.8571846279598</v>
      </c>
      <c r="G2047" s="1375">
        <v>2.4657713890635802</v>
      </c>
    </row>
    <row r="2048" spans="1:7" x14ac:dyDescent="0.25">
      <c r="A2048" s="6" t="s">
        <v>6300</v>
      </c>
      <c r="B2048" s="6"/>
      <c r="C2048" s="1368">
        <v>230</v>
      </c>
      <c r="D2048" s="1368">
        <v>312341.93158918899</v>
      </c>
      <c r="E2048" s="1369">
        <v>36294.450097926303</v>
      </c>
      <c r="F2048" s="1370">
        <v>17.507477522273501</v>
      </c>
      <c r="G2048" s="1371">
        <v>1.9594627983052699</v>
      </c>
    </row>
    <row r="2049" spans="1:7" x14ac:dyDescent="0.25">
      <c r="A2049" s="11" t="s">
        <v>6297</v>
      </c>
      <c r="B2049" s="11"/>
      <c r="C2049" s="1372">
        <v>263</v>
      </c>
      <c r="D2049" s="1372">
        <v>292176.85858336702</v>
      </c>
      <c r="E2049" s="1373">
        <v>42952.188055968298</v>
      </c>
      <c r="F2049" s="1374">
        <v>16.3771791963709</v>
      </c>
      <c r="G2049" s="1375">
        <v>1.8301729897521699</v>
      </c>
    </row>
    <row r="2050" spans="1:7" x14ac:dyDescent="0.25">
      <c r="A2050" s="6" t="s">
        <v>6302</v>
      </c>
      <c r="B2050" s="6"/>
      <c r="C2050" s="1368">
        <v>183</v>
      </c>
      <c r="D2050" s="1368">
        <v>191458.256334009</v>
      </c>
      <c r="E2050" s="1369">
        <v>22224.217944024698</v>
      </c>
      <c r="F2050" s="1370">
        <v>10.731671864122401</v>
      </c>
      <c r="G2050" s="1371">
        <v>0.81399168358475504</v>
      </c>
    </row>
    <row r="2051" spans="1:7" x14ac:dyDescent="0.25">
      <c r="A2051" s="11" t="s">
        <v>6301</v>
      </c>
      <c r="B2051" s="11"/>
      <c r="C2051" s="1372">
        <v>149</v>
      </c>
      <c r="D2051" s="1372">
        <v>186249.921583883</v>
      </c>
      <c r="E2051" s="1373">
        <v>25747.512019426002</v>
      </c>
      <c r="F2051" s="1374">
        <v>10.439732824422</v>
      </c>
      <c r="G2051" s="1375">
        <v>1.34754809461056</v>
      </c>
    </row>
    <row r="2052" spans="1:7" x14ac:dyDescent="0.25">
      <c r="A2052" s="6" t="s">
        <v>6298</v>
      </c>
      <c r="B2052" s="6"/>
      <c r="C2052" s="1368">
        <v>91</v>
      </c>
      <c r="D2052" s="1368">
        <v>116972.903966923</v>
      </c>
      <c r="E2052" s="1369">
        <v>23378.873855262402</v>
      </c>
      <c r="F2052" s="1370">
        <v>6.5565980094196199</v>
      </c>
      <c r="G2052" s="1371">
        <v>1.2159261752522501</v>
      </c>
    </row>
    <row r="2053" spans="1:7" x14ac:dyDescent="0.25">
      <c r="A2053" s="11" t="s">
        <v>6296</v>
      </c>
      <c r="B2053" s="11"/>
      <c r="C2053" s="1372">
        <v>28</v>
      </c>
      <c r="D2053" s="1372">
        <v>51122.375528687102</v>
      </c>
      <c r="E2053" s="1373">
        <v>21289.8495522884</v>
      </c>
      <c r="F2053" s="1374">
        <v>2.8655257265646301</v>
      </c>
      <c r="G2053" s="1375">
        <v>1.21508735416869</v>
      </c>
    </row>
    <row r="2054" spans="1:7" x14ac:dyDescent="0.25">
      <c r="A2054" s="6" t="s">
        <v>1017</v>
      </c>
      <c r="B2054" s="6"/>
      <c r="C2054" s="1368">
        <v>23</v>
      </c>
      <c r="D2054" s="1368">
        <v>34985.166916672701</v>
      </c>
      <c r="E2054" s="1369">
        <v>24800.7268943032</v>
      </c>
      <c r="F2054" s="1370">
        <v>1.9609983849758399</v>
      </c>
      <c r="G2054" s="1371">
        <v>1.3845246383736001</v>
      </c>
    </row>
    <row r="2055" spans="1:7" x14ac:dyDescent="0.25">
      <c r="A2055" s="11" t="s">
        <v>1069</v>
      </c>
      <c r="B2055" s="11"/>
      <c r="C2055" s="1372">
        <v>17</v>
      </c>
      <c r="D2055" s="1372">
        <v>25405.166441449201</v>
      </c>
      <c r="E2055" s="1373">
        <v>12361.952306933599</v>
      </c>
      <c r="F2055" s="1374">
        <v>1.42401751234698</v>
      </c>
      <c r="G2055" s="1375">
        <v>0.69149125889543706</v>
      </c>
    </row>
    <row r="2056" spans="1:7" x14ac:dyDescent="0.25">
      <c r="A2056" s="6" t="s">
        <v>6303</v>
      </c>
      <c r="B2056" s="6"/>
      <c r="C2056" s="1368">
        <v>10</v>
      </c>
      <c r="D2056" s="1368">
        <v>19936.710826179798</v>
      </c>
      <c r="E2056" s="1369">
        <v>13472.7799925337</v>
      </c>
      <c r="F2056" s="1370">
        <v>1.1174981049822299</v>
      </c>
      <c r="G2056" s="1371">
        <v>0.745957945417282</v>
      </c>
    </row>
    <row r="2057" spans="1:7" x14ac:dyDescent="0.25">
      <c r="A2057" s="11" t="s">
        <v>1021</v>
      </c>
      <c r="B2057" s="11"/>
      <c r="C2057" s="1372">
        <v>5</v>
      </c>
      <c r="D2057" s="1372">
        <v>11562.495521348799</v>
      </c>
      <c r="E2057" s="1373">
        <v>9945.6255462104691</v>
      </c>
      <c r="F2057" s="1374">
        <v>0.64810424079610696</v>
      </c>
      <c r="G2057" s="1375">
        <v>0.55670123904228896</v>
      </c>
    </row>
    <row r="2058" spans="1:7" x14ac:dyDescent="0.25">
      <c r="A2058" s="6" t="s">
        <v>1174</v>
      </c>
      <c r="B2058" s="6"/>
      <c r="C2058" s="1368">
        <v>17</v>
      </c>
      <c r="D2058" s="1368">
        <v>10235.4099047812</v>
      </c>
      <c r="E2058" s="1369">
        <v>5154.3695899603899</v>
      </c>
      <c r="F2058" s="1370">
        <v>0.57371806573477102</v>
      </c>
      <c r="G2058" s="1371">
        <v>0.272754216927377</v>
      </c>
    </row>
    <row r="2059" spans="1:7" x14ac:dyDescent="0.25">
      <c r="A2059" s="11" t="s">
        <v>1025</v>
      </c>
      <c r="B2059" s="11"/>
      <c r="C2059" s="1372">
        <v>14</v>
      </c>
      <c r="D2059" s="1372">
        <v>8271.2461167772399</v>
      </c>
      <c r="E2059" s="1373">
        <v>6422.7445406564302</v>
      </c>
      <c r="F2059" s="1374">
        <v>0.46362220638735802</v>
      </c>
      <c r="G2059" s="1375">
        <v>0.364924358719727</v>
      </c>
    </row>
    <row r="2060" spans="1:7" x14ac:dyDescent="0.25">
      <c r="A2060" s="6" t="s">
        <v>1177</v>
      </c>
      <c r="B2060" s="6"/>
      <c r="C2060" s="1368">
        <v>12</v>
      </c>
      <c r="D2060" s="1368">
        <v>6001.2337411732697</v>
      </c>
      <c r="E2060" s="1369">
        <v>3522.7214176505099</v>
      </c>
      <c r="F2060" s="1370">
        <v>0.33638283625552301</v>
      </c>
      <c r="G2060" s="1371">
        <v>0.19451484964857499</v>
      </c>
    </row>
    <row r="2061" spans="1:7" x14ac:dyDescent="0.25">
      <c r="A2061" s="11" t="s">
        <v>1027</v>
      </c>
      <c r="B2061" s="11"/>
      <c r="C2061" s="1372">
        <v>8</v>
      </c>
      <c r="D2061" s="1372">
        <v>1281.39810773569</v>
      </c>
      <c r="E2061" s="1373">
        <v>939.19196945283397</v>
      </c>
      <c r="F2061" s="1374">
        <v>7.1825286006660896E-2</v>
      </c>
      <c r="G2061" s="1375">
        <v>5.2708301861262997E-2</v>
      </c>
    </row>
    <row r="2062" spans="1:7" x14ac:dyDescent="0.25">
      <c r="A2062" s="6" t="s">
        <v>1019</v>
      </c>
      <c r="B2062" s="6"/>
      <c r="C2062" s="1368">
        <v>2</v>
      </c>
      <c r="D2062" s="1368">
        <v>617.83916809435698</v>
      </c>
      <c r="E2062" s="1369">
        <v>483.95982662577802</v>
      </c>
      <c r="F2062" s="1370">
        <v>3.4631294276616702E-2</v>
      </c>
      <c r="G2062" s="1371">
        <v>2.7020339841743801E-2</v>
      </c>
    </row>
    <row r="2063" spans="1:7" x14ac:dyDescent="0.25">
      <c r="A2063" s="11" t="s">
        <v>1023</v>
      </c>
      <c r="B2063" s="11"/>
      <c r="C2063" s="1372">
        <v>1</v>
      </c>
      <c r="D2063" s="1372">
        <v>355.78346770033301</v>
      </c>
      <c r="E2063" s="1373">
        <v>373.79743226348802</v>
      </c>
      <c r="F2063" s="1374">
        <v>1.99424746842914E-2</v>
      </c>
      <c r="G2063" s="1375">
        <v>2.0853313782771499E-2</v>
      </c>
    </row>
    <row r="2064" spans="1:7" x14ac:dyDescent="0.25">
      <c r="A2064" s="6" t="s">
        <v>1033</v>
      </c>
      <c r="B2064" s="6"/>
      <c r="C2064" s="1368">
        <v>1</v>
      </c>
      <c r="D2064" s="1368">
        <v>176.335527092056</v>
      </c>
      <c r="E2064" s="1369">
        <v>181.582329446378</v>
      </c>
      <c r="F2064" s="1370">
        <v>9.8840084046188E-3</v>
      </c>
      <c r="G2064" s="1371">
        <v>1.0068629818729399E-2</v>
      </c>
    </row>
    <row r="2065" spans="1:7" x14ac:dyDescent="0.25">
      <c r="A2065" s="11" t="s">
        <v>1035</v>
      </c>
      <c r="B2065" s="11"/>
      <c r="C2065" s="1372">
        <v>1</v>
      </c>
      <c r="D2065" s="1372">
        <v>39.001425093232903</v>
      </c>
      <c r="E2065" s="1373">
        <v>39.4720944946557</v>
      </c>
      <c r="F2065" s="1374">
        <v>2.1861188143463498E-3</v>
      </c>
      <c r="G2065" s="1375">
        <v>2.2247382073174002E-3</v>
      </c>
    </row>
    <row r="2066" spans="1:7" x14ac:dyDescent="0.25">
      <c r="A2066" s="6" t="s">
        <v>6304</v>
      </c>
      <c r="B2066" s="6"/>
      <c r="C2066" s="1368">
        <v>2</v>
      </c>
      <c r="D2066" s="1368">
        <v>32.464249262527098</v>
      </c>
      <c r="E2066" s="1369">
        <v>33.786891366924699</v>
      </c>
      <c r="F2066" s="1370">
        <v>1.8196952018236399E-3</v>
      </c>
      <c r="G2066" s="1371">
        <v>1.88883292685915E-3</v>
      </c>
    </row>
    <row r="2067" spans="1:7" x14ac:dyDescent="0.25">
      <c r="A2067" s="11" t="s">
        <v>982</v>
      </c>
      <c r="B2067" s="11" t="s">
        <v>983</v>
      </c>
      <c r="C2067" s="1372">
        <v>4649</v>
      </c>
      <c r="D2067" s="1372">
        <v>5023239.1328315502</v>
      </c>
      <c r="E2067" s="1373">
        <v>107662.732721127</v>
      </c>
      <c r="F2067" s="1374">
        <v>99.588083597643404</v>
      </c>
      <c r="G2067" s="1375">
        <v>0.292842440387453</v>
      </c>
    </row>
    <row r="2068" spans="1:7" x14ac:dyDescent="0.25">
      <c r="A2068" s="6" t="s">
        <v>978</v>
      </c>
      <c r="B2068" s="6" t="s">
        <v>1047</v>
      </c>
      <c r="C2068" s="1368">
        <v>9</v>
      </c>
      <c r="D2068" s="1368">
        <v>20777.130325478902</v>
      </c>
      <c r="E2068" s="1369">
        <v>14814.1988650031</v>
      </c>
      <c r="F2068" s="1370">
        <v>0.41191640235661298</v>
      </c>
      <c r="G2068" s="1371">
        <v>0.292842440387451</v>
      </c>
    </row>
    <row r="2069" spans="1:7" x14ac:dyDescent="0.25">
      <c r="A2069" s="11" t="s">
        <v>6293</v>
      </c>
      <c r="B2069" s="11" t="s">
        <v>6294</v>
      </c>
      <c r="C2069" s="1372">
        <v>1423</v>
      </c>
      <c r="D2069" s="1372">
        <v>1784048.7368429799</v>
      </c>
      <c r="E2069" s="1373">
        <v>109655.02961655401</v>
      </c>
      <c r="F2069" s="1374">
        <v>26.128174480515099</v>
      </c>
      <c r="G2069" s="1375">
        <v>1.6059458956022501</v>
      </c>
    </row>
    <row r="2070" spans="1:7" x14ac:dyDescent="0.25">
      <c r="A2070" s="6" t="s">
        <v>6293</v>
      </c>
      <c r="B2070" s="6" t="s">
        <v>6295</v>
      </c>
      <c r="C2070" s="1368">
        <v>6081</v>
      </c>
      <c r="D2070" s="1368">
        <v>6828065.0000000102</v>
      </c>
      <c r="E2070" s="1369">
        <v>0</v>
      </c>
      <c r="F2070" s="1370">
        <v>100</v>
      </c>
      <c r="G2070" s="1371">
        <v>0</v>
      </c>
    </row>
    <row r="2071" spans="1:7" x14ac:dyDescent="0.25">
      <c r="A2071" s="3353" t="s">
        <v>374</v>
      </c>
      <c r="B2071" s="3354"/>
      <c r="C2071" s="3354"/>
      <c r="D2071" s="3354"/>
      <c r="E2071" s="3354"/>
      <c r="F2071" s="3354"/>
      <c r="G2071" s="3354"/>
    </row>
    <row r="2072" spans="1:7" x14ac:dyDescent="0.25">
      <c r="A2072" s="11" t="s">
        <v>6297</v>
      </c>
      <c r="B2072" s="11"/>
      <c r="C2072" s="1380">
        <v>776</v>
      </c>
      <c r="D2072" s="1380">
        <v>775799.541936161</v>
      </c>
      <c r="E2072" s="1381">
        <v>55256.074587829797</v>
      </c>
      <c r="F2072" s="1382">
        <v>21.305267990051899</v>
      </c>
      <c r="G2072" s="1383">
        <v>1.4541325501473501</v>
      </c>
    </row>
    <row r="2073" spans="1:7" x14ac:dyDescent="0.25">
      <c r="A2073" s="6" t="s">
        <v>6298</v>
      </c>
      <c r="B2073" s="6"/>
      <c r="C2073" s="1376">
        <v>559</v>
      </c>
      <c r="D2073" s="1376">
        <v>707002.05790116498</v>
      </c>
      <c r="E2073" s="1377">
        <v>68972.930859145199</v>
      </c>
      <c r="F2073" s="1378">
        <v>19.415928340857398</v>
      </c>
      <c r="G2073" s="1379">
        <v>1.6468879068741</v>
      </c>
    </row>
    <row r="2074" spans="1:7" x14ac:dyDescent="0.25">
      <c r="A2074" s="11" t="s">
        <v>6299</v>
      </c>
      <c r="B2074" s="11"/>
      <c r="C2074" s="1380">
        <v>598</v>
      </c>
      <c r="D2074" s="1380">
        <v>541836.58973711799</v>
      </c>
      <c r="E2074" s="1381">
        <v>72511.550484908003</v>
      </c>
      <c r="F2074" s="1382">
        <v>14.880098694509201</v>
      </c>
      <c r="G2074" s="1383">
        <v>1.9307364014808299</v>
      </c>
    </row>
    <row r="2075" spans="1:7" x14ac:dyDescent="0.25">
      <c r="A2075" s="6" t="s">
        <v>6300</v>
      </c>
      <c r="B2075" s="6"/>
      <c r="C2075" s="1376">
        <v>459</v>
      </c>
      <c r="D2075" s="1376">
        <v>493659.30337488902</v>
      </c>
      <c r="E2075" s="1377">
        <v>63824.257826828798</v>
      </c>
      <c r="F2075" s="1378">
        <v>13.5570378501845</v>
      </c>
      <c r="G2075" s="1379">
        <v>1.58708203095886</v>
      </c>
    </row>
    <row r="2076" spans="1:7" x14ac:dyDescent="0.25">
      <c r="A2076" s="11" t="s">
        <v>6302</v>
      </c>
      <c r="B2076" s="11"/>
      <c r="C2076" s="1380">
        <v>491</v>
      </c>
      <c r="D2076" s="1380">
        <v>331024.46473240101</v>
      </c>
      <c r="E2076" s="1381">
        <v>28141.505843712701</v>
      </c>
      <c r="F2076" s="1382">
        <v>9.0907052030299305</v>
      </c>
      <c r="G2076" s="1383">
        <v>0.80618974422646394</v>
      </c>
    </row>
    <row r="2077" spans="1:7" x14ac:dyDescent="0.25">
      <c r="A2077" s="6" t="s">
        <v>1174</v>
      </c>
      <c r="B2077" s="6"/>
      <c r="C2077" s="1376">
        <v>309</v>
      </c>
      <c r="D2077" s="1376">
        <v>258238.58558836801</v>
      </c>
      <c r="E2077" s="1377">
        <v>34674.517634377597</v>
      </c>
      <c r="F2077" s="1378">
        <v>7.0918349057041201</v>
      </c>
      <c r="G2077" s="1379">
        <v>0.88847129892041399</v>
      </c>
    </row>
    <row r="2078" spans="1:7" x14ac:dyDescent="0.25">
      <c r="A2078" s="11" t="s">
        <v>6296</v>
      </c>
      <c r="B2078" s="11"/>
      <c r="C2078" s="1380">
        <v>223</v>
      </c>
      <c r="D2078" s="1380">
        <v>248030.20195774801</v>
      </c>
      <c r="E2078" s="1381">
        <v>30138.681642652798</v>
      </c>
      <c r="F2078" s="1382">
        <v>6.81148884046564</v>
      </c>
      <c r="G2078" s="1383">
        <v>0.88593486244200004</v>
      </c>
    </row>
    <row r="2079" spans="1:7" x14ac:dyDescent="0.25">
      <c r="A2079" s="6" t="s">
        <v>6301</v>
      </c>
      <c r="B2079" s="6"/>
      <c r="C2079" s="1376">
        <v>175</v>
      </c>
      <c r="D2079" s="1376">
        <v>159404.678718782</v>
      </c>
      <c r="E2079" s="1377">
        <v>26985.888092451602</v>
      </c>
      <c r="F2079" s="1378">
        <v>4.3776249087438002</v>
      </c>
      <c r="G2079" s="1379">
        <v>0.76931463816679302</v>
      </c>
    </row>
    <row r="2080" spans="1:7" x14ac:dyDescent="0.25">
      <c r="A2080" s="11" t="s">
        <v>1025</v>
      </c>
      <c r="B2080" s="11"/>
      <c r="C2080" s="1380">
        <v>32</v>
      </c>
      <c r="D2080" s="1380">
        <v>38384.233655644202</v>
      </c>
      <c r="E2080" s="1381">
        <v>20524.068217598699</v>
      </c>
      <c r="F2080" s="1382">
        <v>1.05412073663426</v>
      </c>
      <c r="G2080" s="1383">
        <v>0.55782791457119696</v>
      </c>
    </row>
    <row r="2081" spans="1:7" x14ac:dyDescent="0.25">
      <c r="A2081" s="6" t="s">
        <v>1069</v>
      </c>
      <c r="B2081" s="6"/>
      <c r="C2081" s="1376">
        <v>24</v>
      </c>
      <c r="D2081" s="1376">
        <v>34549.869397007598</v>
      </c>
      <c r="E2081" s="1377">
        <v>15811.603487272199</v>
      </c>
      <c r="F2081" s="1378">
        <v>0.94882013553072198</v>
      </c>
      <c r="G2081" s="1379">
        <v>0.43702921053021798</v>
      </c>
    </row>
    <row r="2082" spans="1:7" x14ac:dyDescent="0.25">
      <c r="A2082" s="11" t="s">
        <v>1017</v>
      </c>
      <c r="B2082" s="11"/>
      <c r="C2082" s="1380">
        <v>56</v>
      </c>
      <c r="D2082" s="1380">
        <v>31241.9799454528</v>
      </c>
      <c r="E2082" s="1381">
        <v>10831.913120310999</v>
      </c>
      <c r="F2082" s="1382">
        <v>0.85797776267889603</v>
      </c>
      <c r="G2082" s="1383">
        <v>0.30330270164119</v>
      </c>
    </row>
    <row r="2083" spans="1:7" x14ac:dyDescent="0.25">
      <c r="A2083" s="6" t="s">
        <v>1021</v>
      </c>
      <c r="B2083" s="6"/>
      <c r="C2083" s="1376">
        <v>8</v>
      </c>
      <c r="D2083" s="1376">
        <v>8936.6997654217394</v>
      </c>
      <c r="E2083" s="1377">
        <v>9040.7788512147108</v>
      </c>
      <c r="F2083" s="1378">
        <v>0.24542265515363201</v>
      </c>
      <c r="G2083" s="1379">
        <v>0.25019610286367</v>
      </c>
    </row>
    <row r="2084" spans="1:7" x14ac:dyDescent="0.25">
      <c r="A2084" s="11" t="s">
        <v>6303</v>
      </c>
      <c r="B2084" s="11"/>
      <c r="C2084" s="1380">
        <v>11</v>
      </c>
      <c r="D2084" s="1380">
        <v>4726.7006830341797</v>
      </c>
      <c r="E2084" s="1381">
        <v>2799.5113844893699</v>
      </c>
      <c r="F2084" s="1382">
        <v>0.129806244161319</v>
      </c>
      <c r="G2084" s="1383">
        <v>7.6638774682326605E-2</v>
      </c>
    </row>
    <row r="2085" spans="1:7" x14ac:dyDescent="0.25">
      <c r="A2085" s="6" t="s">
        <v>1177</v>
      </c>
      <c r="B2085" s="6"/>
      <c r="C2085" s="1376">
        <v>16</v>
      </c>
      <c r="D2085" s="1376">
        <v>3830.0607511891499</v>
      </c>
      <c r="E2085" s="1377">
        <v>1459.98895463284</v>
      </c>
      <c r="F2085" s="1378">
        <v>0.10518241673437199</v>
      </c>
      <c r="G2085" s="1379">
        <v>4.0944782810866498E-2</v>
      </c>
    </row>
    <row r="2086" spans="1:7" x14ac:dyDescent="0.25">
      <c r="A2086" s="11" t="s">
        <v>1019</v>
      </c>
      <c r="B2086" s="11"/>
      <c r="C2086" s="1380">
        <v>4</v>
      </c>
      <c r="D2086" s="1380">
        <v>3361.9413103735201</v>
      </c>
      <c r="E2086" s="1381">
        <v>3026.4829976537499</v>
      </c>
      <c r="F2086" s="1382">
        <v>9.2326763181084903E-2</v>
      </c>
      <c r="G2086" s="1383">
        <v>8.3728425702013401E-2</v>
      </c>
    </row>
    <row r="2087" spans="1:7" x14ac:dyDescent="0.25">
      <c r="A2087" s="6" t="s">
        <v>1027</v>
      </c>
      <c r="B2087" s="6"/>
      <c r="C2087" s="1376">
        <v>8</v>
      </c>
      <c r="D2087" s="1376">
        <v>943.731351693585</v>
      </c>
      <c r="E2087" s="1377">
        <v>579.81699964591303</v>
      </c>
      <c r="F2087" s="1378">
        <v>2.59170678398007E-2</v>
      </c>
      <c r="G2087" s="1379">
        <v>1.63053237243663E-2</v>
      </c>
    </row>
    <row r="2088" spans="1:7" x14ac:dyDescent="0.25">
      <c r="A2088" s="11" t="s">
        <v>1031</v>
      </c>
      <c r="B2088" s="11"/>
      <c r="C2088" s="1380">
        <v>3</v>
      </c>
      <c r="D2088" s="1380">
        <v>271.38329015876002</v>
      </c>
      <c r="E2088" s="1381">
        <v>187.51328648159301</v>
      </c>
      <c r="F2088" s="1382">
        <v>7.4528192043327801E-3</v>
      </c>
      <c r="G2088" s="1383">
        <v>5.1335726372699897E-3</v>
      </c>
    </row>
    <row r="2089" spans="1:7" x14ac:dyDescent="0.25">
      <c r="A2089" s="6" t="s">
        <v>1033</v>
      </c>
      <c r="B2089" s="6"/>
      <c r="C2089" s="1376">
        <v>2</v>
      </c>
      <c r="D2089" s="1376">
        <v>79.786371702773096</v>
      </c>
      <c r="E2089" s="1377">
        <v>56.139284000352198</v>
      </c>
      <c r="F2089" s="1378">
        <v>2.1911201788533102E-3</v>
      </c>
      <c r="G2089" s="1379">
        <v>1.5436117553686401E-3</v>
      </c>
    </row>
    <row r="2090" spans="1:7" x14ac:dyDescent="0.25">
      <c r="A2090" s="11" t="s">
        <v>6304</v>
      </c>
      <c r="B2090" s="11"/>
      <c r="C2090" s="1380">
        <v>3</v>
      </c>
      <c r="D2090" s="1380">
        <v>28.968589740091101</v>
      </c>
      <c r="E2090" s="1381">
        <v>28.963244325162101</v>
      </c>
      <c r="F2090" s="1382">
        <v>7.9554515611881605E-4</v>
      </c>
      <c r="G2090" s="1383">
        <v>7.9906850311972904E-4</v>
      </c>
    </row>
    <row r="2091" spans="1:7" x14ac:dyDescent="0.25">
      <c r="A2091" s="6" t="s">
        <v>982</v>
      </c>
      <c r="B2091" s="6" t="s">
        <v>983</v>
      </c>
      <c r="C2091" s="1376">
        <v>2298</v>
      </c>
      <c r="D2091" s="1376">
        <v>3156856.0078316499</v>
      </c>
      <c r="E2091" s="1377">
        <v>107852.61893421299</v>
      </c>
      <c r="F2091" s="1378">
        <v>99.063040767380997</v>
      </c>
      <c r="G2091" s="1379">
        <v>0.55707327983107502</v>
      </c>
    </row>
    <row r="2092" spans="1:7" x14ac:dyDescent="0.25">
      <c r="A2092" s="11" t="s">
        <v>978</v>
      </c>
      <c r="B2092" s="11" t="s">
        <v>1047</v>
      </c>
      <c r="C2092" s="1380">
        <v>25</v>
      </c>
      <c r="D2092" s="1380">
        <v>29155.079962599</v>
      </c>
      <c r="E2092" s="1381">
        <v>18092.203965094501</v>
      </c>
      <c r="F2092" s="1382">
        <v>0.91489471415422896</v>
      </c>
      <c r="G2092" s="1383">
        <v>0.55661285340203304</v>
      </c>
    </row>
    <row r="2093" spans="1:7" x14ac:dyDescent="0.25">
      <c r="A2093" s="6" t="s">
        <v>980</v>
      </c>
      <c r="B2093" s="6" t="s">
        <v>1041</v>
      </c>
      <c r="C2093" s="1376">
        <v>1</v>
      </c>
      <c r="D2093" s="1376">
        <v>703.13314770000704</v>
      </c>
      <c r="E2093" s="1377">
        <v>711.91420984618696</v>
      </c>
      <c r="F2093" s="1378">
        <v>2.20645184647957E-2</v>
      </c>
      <c r="G2093" s="1379">
        <v>2.22881958559332E-2</v>
      </c>
    </row>
    <row r="2094" spans="1:7" x14ac:dyDescent="0.25">
      <c r="A2094" s="11" t="s">
        <v>6293</v>
      </c>
      <c r="B2094" s="11" t="s">
        <v>6294</v>
      </c>
      <c r="C2094" s="1380">
        <v>3757</v>
      </c>
      <c r="D2094" s="1380">
        <v>3641350.7790580499</v>
      </c>
      <c r="E2094" s="1381">
        <v>115956.109068983</v>
      </c>
      <c r="F2094" s="1382">
        <v>53.329175675071198</v>
      </c>
      <c r="G2094" s="1383">
        <v>1.6982279616404199</v>
      </c>
    </row>
    <row r="2095" spans="1:7" x14ac:dyDescent="0.25">
      <c r="A2095" s="6" t="s">
        <v>6293</v>
      </c>
      <c r="B2095" s="6" t="s">
        <v>6295</v>
      </c>
      <c r="C2095" s="1376">
        <v>6081</v>
      </c>
      <c r="D2095" s="1376">
        <v>6828065</v>
      </c>
      <c r="E2095" s="1377">
        <v>0</v>
      </c>
      <c r="F2095" s="1378">
        <v>100</v>
      </c>
      <c r="G2095" s="1379">
        <v>0</v>
      </c>
    </row>
    <row r="2096" spans="1:7" x14ac:dyDescent="0.25">
      <c r="A2096" s="3353" t="s">
        <v>79</v>
      </c>
      <c r="B2096" s="3354"/>
      <c r="C2096" s="3354"/>
      <c r="D2096" s="3354"/>
      <c r="E2096" s="3354"/>
      <c r="F2096" s="3354"/>
      <c r="G2096" s="3354"/>
    </row>
    <row r="2097" spans="1:7" x14ac:dyDescent="0.25">
      <c r="A2097" s="11" t="s">
        <v>984</v>
      </c>
      <c r="B2097" s="11" t="s">
        <v>1061</v>
      </c>
      <c r="C2097" s="1388">
        <v>5362</v>
      </c>
      <c r="D2097" s="1388">
        <v>5522413.3412870299</v>
      </c>
      <c r="E2097" s="1389">
        <v>86659.435985672695</v>
      </c>
      <c r="F2097" s="1390">
        <v>86.344651881449096</v>
      </c>
      <c r="G2097" s="1391">
        <v>1.3473955409354399</v>
      </c>
    </row>
    <row r="2098" spans="1:7" x14ac:dyDescent="0.25">
      <c r="A2098" s="6" t="s">
        <v>986</v>
      </c>
      <c r="B2098" s="6" t="s">
        <v>1062</v>
      </c>
      <c r="C2098" s="1384">
        <v>509</v>
      </c>
      <c r="D2098" s="1384">
        <v>873365.92350088304</v>
      </c>
      <c r="E2098" s="1385">
        <v>86104.703587812895</v>
      </c>
      <c r="F2098" s="1386">
        <v>13.655348118550901</v>
      </c>
      <c r="G2098" s="1387">
        <v>1.3473955409354399</v>
      </c>
    </row>
    <row r="2099" spans="1:7" x14ac:dyDescent="0.25">
      <c r="A2099" s="11" t="s">
        <v>982</v>
      </c>
      <c r="B2099" s="11"/>
      <c r="C2099" s="1388">
        <v>204</v>
      </c>
      <c r="D2099" s="1388">
        <v>429859.990420477</v>
      </c>
      <c r="E2099" s="1389">
        <v>8.2760638930812896E-2</v>
      </c>
      <c r="F2099" s="1390">
        <v>99.438856156003794</v>
      </c>
      <c r="G2099" s="1391">
        <v>0.40109549535111799</v>
      </c>
    </row>
    <row r="2100" spans="1:7" x14ac:dyDescent="0.25">
      <c r="A2100" s="6" t="s">
        <v>980</v>
      </c>
      <c r="B2100" s="6" t="s">
        <v>1041</v>
      </c>
      <c r="C2100" s="1384">
        <v>6</v>
      </c>
      <c r="D2100" s="1384">
        <v>2425.74479161619</v>
      </c>
      <c r="E2100" s="1385">
        <v>1739.83845183075</v>
      </c>
      <c r="F2100" s="1386">
        <v>0.56114384399615802</v>
      </c>
      <c r="G2100" s="1387">
        <v>0.40109549535112299</v>
      </c>
    </row>
    <row r="2101" spans="1:7" x14ac:dyDescent="0.25">
      <c r="A2101" s="11" t="s">
        <v>6293</v>
      </c>
      <c r="B2101" s="11" t="s">
        <v>6294</v>
      </c>
      <c r="C2101" s="1388">
        <v>5871</v>
      </c>
      <c r="D2101" s="1388">
        <v>6395779.2647879096</v>
      </c>
      <c r="E2101" s="1389">
        <v>1739.8410277385999</v>
      </c>
      <c r="F2101" s="1390">
        <v>93.668986232379297</v>
      </c>
      <c r="G2101" s="1391">
        <v>2.5480733234543099E-2</v>
      </c>
    </row>
    <row r="2102" spans="1:7" x14ac:dyDescent="0.25">
      <c r="A2102" s="6" t="s">
        <v>6293</v>
      </c>
      <c r="B2102" s="6" t="s">
        <v>6295</v>
      </c>
      <c r="C2102" s="1384">
        <v>6081</v>
      </c>
      <c r="D2102" s="1384">
        <v>6828065</v>
      </c>
      <c r="E2102" s="1385">
        <v>0</v>
      </c>
      <c r="F2102" s="1386">
        <v>100</v>
      </c>
      <c r="G2102" s="1387">
        <v>0</v>
      </c>
    </row>
    <row r="2103" spans="1:7" x14ac:dyDescent="0.25">
      <c r="A2103" s="3353" t="s">
        <v>967</v>
      </c>
      <c r="B2103" s="3354"/>
      <c r="C2103" s="3354"/>
      <c r="D2103" s="3354"/>
      <c r="E2103" s="3354"/>
      <c r="F2103" s="3354"/>
      <c r="G2103" s="3354"/>
    </row>
    <row r="2104" spans="1:7" x14ac:dyDescent="0.25">
      <c r="A2104" s="11" t="s">
        <v>6476</v>
      </c>
      <c r="B2104" s="11"/>
      <c r="C2104" s="1396">
        <v>13</v>
      </c>
      <c r="D2104" s="1396">
        <v>58657.071028093</v>
      </c>
      <c r="E2104" s="1397">
        <v>37672.8731038818</v>
      </c>
      <c r="F2104" s="1398">
        <v>6.7679246841117804</v>
      </c>
      <c r="G2104" s="1399">
        <v>4.2875741462265404</v>
      </c>
    </row>
    <row r="2105" spans="1:7" x14ac:dyDescent="0.25">
      <c r="A2105" s="6" t="s">
        <v>6477</v>
      </c>
      <c r="B2105" s="6"/>
      <c r="C2105" s="1392">
        <v>19</v>
      </c>
      <c r="D2105" s="1392">
        <v>36432.025170414301</v>
      </c>
      <c r="E2105" s="1393">
        <v>19853.472446417101</v>
      </c>
      <c r="F2105" s="1394">
        <v>4.2035716772311602</v>
      </c>
      <c r="G2105" s="1395">
        <v>2.30714124966511</v>
      </c>
    </row>
    <row r="2106" spans="1:7" x14ac:dyDescent="0.25">
      <c r="A2106" s="11" t="s">
        <v>6478</v>
      </c>
      <c r="B2106" s="11"/>
      <c r="C2106" s="1396">
        <v>13</v>
      </c>
      <c r="D2106" s="1396">
        <v>34887.982310708598</v>
      </c>
      <c r="E2106" s="1397">
        <v>20717.0799753623</v>
      </c>
      <c r="F2106" s="1398">
        <v>4.02541812131079</v>
      </c>
      <c r="G2106" s="1399">
        <v>2.2934890371723502</v>
      </c>
    </row>
    <row r="2107" spans="1:7" x14ac:dyDescent="0.25">
      <c r="A2107" s="6" t="s">
        <v>6479</v>
      </c>
      <c r="B2107" s="6"/>
      <c r="C2107" s="1392">
        <v>8</v>
      </c>
      <c r="D2107" s="1392">
        <v>34440.426651381698</v>
      </c>
      <c r="E2107" s="1393">
        <v>28898.820040659699</v>
      </c>
      <c r="F2107" s="1394">
        <v>3.9737786012805199</v>
      </c>
      <c r="G2107" s="1395">
        <v>3.30610622826272</v>
      </c>
    </row>
    <row r="2108" spans="1:7" x14ac:dyDescent="0.25">
      <c r="A2108" s="11" t="s">
        <v>6480</v>
      </c>
      <c r="B2108" s="11"/>
      <c r="C2108" s="1396">
        <v>12</v>
      </c>
      <c r="D2108" s="1396">
        <v>32516.471253111398</v>
      </c>
      <c r="E2108" s="1397">
        <v>27579.6374440978</v>
      </c>
      <c r="F2108" s="1398">
        <v>3.7517902714362399</v>
      </c>
      <c r="G2108" s="1399">
        <v>3.2551682104980499</v>
      </c>
    </row>
    <row r="2109" spans="1:7" x14ac:dyDescent="0.25">
      <c r="A2109" s="6" t="s">
        <v>6481</v>
      </c>
      <c r="B2109" s="6"/>
      <c r="C2109" s="1392">
        <v>14</v>
      </c>
      <c r="D2109" s="1392">
        <v>31224.611574019102</v>
      </c>
      <c r="E2109" s="1393">
        <v>20162.250997810101</v>
      </c>
      <c r="F2109" s="1394">
        <v>3.6027339197075601</v>
      </c>
      <c r="G2109" s="1395">
        <v>2.4223395068318498</v>
      </c>
    </row>
    <row r="2110" spans="1:7" x14ac:dyDescent="0.25">
      <c r="A2110" s="11" t="s">
        <v>3283</v>
      </c>
      <c r="B2110" s="11"/>
      <c r="C2110" s="1396">
        <v>14</v>
      </c>
      <c r="D2110" s="1396">
        <v>28595.733827171302</v>
      </c>
      <c r="E2110" s="1397">
        <v>12390.437967800901</v>
      </c>
      <c r="F2110" s="1398">
        <v>3.2994107860672499</v>
      </c>
      <c r="G2110" s="1399">
        <v>1.39044817753738</v>
      </c>
    </row>
    <row r="2111" spans="1:7" x14ac:dyDescent="0.25">
      <c r="A2111" s="6" t="s">
        <v>6482</v>
      </c>
      <c r="B2111" s="6"/>
      <c r="C2111" s="1392">
        <v>5</v>
      </c>
      <c r="D2111" s="1392">
        <v>27615.780536405098</v>
      </c>
      <c r="E2111" s="1393">
        <v>14442.7815930328</v>
      </c>
      <c r="F2111" s="1394">
        <v>3.1863425753705901</v>
      </c>
      <c r="G2111" s="1395">
        <v>1.56478133555659</v>
      </c>
    </row>
    <row r="2112" spans="1:7" x14ac:dyDescent="0.25">
      <c r="A2112" s="11" t="s">
        <v>6483</v>
      </c>
      <c r="B2112" s="11"/>
      <c r="C2112" s="1396">
        <v>19</v>
      </c>
      <c r="D2112" s="1396">
        <v>26596.902088170598</v>
      </c>
      <c r="E2112" s="1397">
        <v>19206.471308845499</v>
      </c>
      <c r="F2112" s="1398">
        <v>3.0687831323391901</v>
      </c>
      <c r="G2112" s="1399">
        <v>2.1941375245161501</v>
      </c>
    </row>
    <row r="2113" spans="1:7" x14ac:dyDescent="0.25">
      <c r="A2113" s="6" t="s">
        <v>6484</v>
      </c>
      <c r="B2113" s="6"/>
      <c r="C2113" s="1392">
        <v>5</v>
      </c>
      <c r="D2113" s="1392">
        <v>23518.623453627199</v>
      </c>
      <c r="E2113" s="1393">
        <v>22230.004993669299</v>
      </c>
      <c r="F2113" s="1394">
        <v>2.71360757395985</v>
      </c>
      <c r="G2113" s="1395">
        <v>2.6094947585523101</v>
      </c>
    </row>
    <row r="2114" spans="1:7" x14ac:dyDescent="0.25">
      <c r="A2114" s="11" t="s">
        <v>6485</v>
      </c>
      <c r="B2114" s="11"/>
      <c r="C2114" s="1396">
        <v>10</v>
      </c>
      <c r="D2114" s="1396">
        <v>22225.246478120302</v>
      </c>
      <c r="E2114" s="1397">
        <v>14294.7869783647</v>
      </c>
      <c r="F2114" s="1398">
        <v>2.5643761547128401</v>
      </c>
      <c r="G2114" s="1399">
        <v>1.6594600868182401</v>
      </c>
    </row>
    <row r="2115" spans="1:7" x14ac:dyDescent="0.25">
      <c r="A2115" s="6" t="s">
        <v>6486</v>
      </c>
      <c r="B2115" s="6"/>
      <c r="C2115" s="1392">
        <v>8</v>
      </c>
      <c r="D2115" s="1392">
        <v>21240.674173485899</v>
      </c>
      <c r="E2115" s="1393">
        <v>10662.3734626491</v>
      </c>
      <c r="F2115" s="1394">
        <v>2.45077499653982</v>
      </c>
      <c r="G2115" s="1395">
        <v>1.2319229764444</v>
      </c>
    </row>
    <row r="2116" spans="1:7" x14ac:dyDescent="0.25">
      <c r="A2116" s="11" t="s">
        <v>6487</v>
      </c>
      <c r="B2116" s="11"/>
      <c r="C2116" s="1396">
        <v>8</v>
      </c>
      <c r="D2116" s="1396">
        <v>20456.8392661939</v>
      </c>
      <c r="E2116" s="1397">
        <v>13390.4289400694</v>
      </c>
      <c r="F2116" s="1398">
        <v>2.3603351650864401</v>
      </c>
      <c r="G2116" s="1399">
        <v>1.56483372394506</v>
      </c>
    </row>
    <row r="2117" spans="1:7" x14ac:dyDescent="0.25">
      <c r="A2117" s="6" t="s">
        <v>6488</v>
      </c>
      <c r="B2117" s="6"/>
      <c r="C2117" s="1392">
        <v>13</v>
      </c>
      <c r="D2117" s="1392">
        <v>19719.852602660801</v>
      </c>
      <c r="E2117" s="1393">
        <v>10690.211987623599</v>
      </c>
      <c r="F2117" s="1394">
        <v>2.2753007413662698</v>
      </c>
      <c r="G2117" s="1395">
        <v>1.24062127226062</v>
      </c>
    </row>
    <row r="2118" spans="1:7" x14ac:dyDescent="0.25">
      <c r="A2118" s="11" t="s">
        <v>6489</v>
      </c>
      <c r="B2118" s="11"/>
      <c r="C2118" s="1396">
        <v>6</v>
      </c>
      <c r="D2118" s="1396">
        <v>18906.3223148787</v>
      </c>
      <c r="E2118" s="1397">
        <v>8592.0303278939991</v>
      </c>
      <c r="F2118" s="1398">
        <v>2.18143462054827</v>
      </c>
      <c r="G2118" s="1399">
        <v>1.01007067960988</v>
      </c>
    </row>
    <row r="2119" spans="1:7" x14ac:dyDescent="0.25">
      <c r="A2119" s="6" t="s">
        <v>6490</v>
      </c>
      <c r="B2119" s="6"/>
      <c r="C2119" s="1392">
        <v>7</v>
      </c>
      <c r="D2119" s="1392">
        <v>18626.025896784002</v>
      </c>
      <c r="E2119" s="1393">
        <v>10231.465172058401</v>
      </c>
      <c r="F2119" s="1394">
        <v>2.1490936765897399</v>
      </c>
      <c r="G2119" s="1395">
        <v>1.2025556739821901</v>
      </c>
    </row>
    <row r="2120" spans="1:7" x14ac:dyDescent="0.25">
      <c r="A2120" s="11" t="s">
        <v>6491</v>
      </c>
      <c r="B2120" s="11"/>
      <c r="C2120" s="1396">
        <v>8</v>
      </c>
      <c r="D2120" s="1396">
        <v>16837.4500497013</v>
      </c>
      <c r="E2120" s="1397">
        <v>5832.1024148980196</v>
      </c>
      <c r="F2120" s="1398">
        <v>1.9427256051413699</v>
      </c>
      <c r="G2120" s="1399">
        <v>0.65234386661544697</v>
      </c>
    </row>
    <row r="2121" spans="1:7" x14ac:dyDescent="0.25">
      <c r="A2121" s="6" t="s">
        <v>6492</v>
      </c>
      <c r="B2121" s="6"/>
      <c r="C2121" s="1392">
        <v>11</v>
      </c>
      <c r="D2121" s="1392">
        <v>16607.2880895454</v>
      </c>
      <c r="E2121" s="1393">
        <v>12543.060005047801</v>
      </c>
      <c r="F2121" s="1394">
        <v>1.91616923633229</v>
      </c>
      <c r="G2121" s="1395">
        <v>1.46668009562317</v>
      </c>
    </row>
    <row r="2122" spans="1:7" x14ac:dyDescent="0.25">
      <c r="A2122" s="11" t="s">
        <v>6493</v>
      </c>
      <c r="B2122" s="11"/>
      <c r="C2122" s="1396">
        <v>9</v>
      </c>
      <c r="D2122" s="1396">
        <v>15958.4536632978</v>
      </c>
      <c r="E2122" s="1397">
        <v>9879.5295744575506</v>
      </c>
      <c r="F2122" s="1398">
        <v>1.8413059256975099</v>
      </c>
      <c r="G2122" s="1399">
        <v>1.19106905476976</v>
      </c>
    </row>
    <row r="2123" spans="1:7" x14ac:dyDescent="0.25">
      <c r="A2123" s="6" t="s">
        <v>6494</v>
      </c>
      <c r="B2123" s="6"/>
      <c r="C2123" s="1392">
        <v>4</v>
      </c>
      <c r="D2123" s="1392">
        <v>15843.1217437255</v>
      </c>
      <c r="E2123" s="1393">
        <v>8995.5528638259402</v>
      </c>
      <c r="F2123" s="1394">
        <v>1.82799878758682</v>
      </c>
      <c r="G2123" s="1395">
        <v>1.0704599467126099</v>
      </c>
    </row>
    <row r="2124" spans="1:7" x14ac:dyDescent="0.25">
      <c r="A2124" s="11" t="s">
        <v>6495</v>
      </c>
      <c r="B2124" s="11"/>
      <c r="C2124" s="1396">
        <v>11</v>
      </c>
      <c r="D2124" s="1396">
        <v>15468.070280779501</v>
      </c>
      <c r="E2124" s="1397">
        <v>10398.294691377399</v>
      </c>
      <c r="F2124" s="1398">
        <v>1.78472489052045</v>
      </c>
      <c r="G2124" s="1399">
        <v>1.2016321427729499</v>
      </c>
    </row>
    <row r="2125" spans="1:7" x14ac:dyDescent="0.25">
      <c r="A2125" s="6" t="s">
        <v>6496</v>
      </c>
      <c r="B2125" s="6"/>
      <c r="C2125" s="1392">
        <v>8</v>
      </c>
      <c r="D2125" s="1392">
        <v>15434.198747875</v>
      </c>
      <c r="E2125" s="1393">
        <v>10604.2058243018</v>
      </c>
      <c r="F2125" s="1394">
        <v>1.78081675157632</v>
      </c>
      <c r="G2125" s="1395">
        <v>1.20472076525594</v>
      </c>
    </row>
    <row r="2126" spans="1:7" x14ac:dyDescent="0.25">
      <c r="A2126" s="11" t="s">
        <v>6497</v>
      </c>
      <c r="B2126" s="11"/>
      <c r="C2126" s="1396">
        <v>7</v>
      </c>
      <c r="D2126" s="1396">
        <v>15114.0433977714</v>
      </c>
      <c r="E2126" s="1397">
        <v>9143.4282532841899</v>
      </c>
      <c r="F2126" s="1398">
        <v>1.7438768352331</v>
      </c>
      <c r="G2126" s="1399">
        <v>1.0612795093226499</v>
      </c>
    </row>
    <row r="2127" spans="1:7" x14ac:dyDescent="0.25">
      <c r="A2127" s="6" t="s">
        <v>6498</v>
      </c>
      <c r="B2127" s="6"/>
      <c r="C2127" s="1392">
        <v>9</v>
      </c>
      <c r="D2127" s="1392">
        <v>14698.1728790369</v>
      </c>
      <c r="E2127" s="1393">
        <v>10798.128993300699</v>
      </c>
      <c r="F2127" s="1394">
        <v>1.69589318552461</v>
      </c>
      <c r="G2127" s="1395">
        <v>1.2779315483571401</v>
      </c>
    </row>
    <row r="2128" spans="1:7" x14ac:dyDescent="0.25">
      <c r="A2128" s="11" t="s">
        <v>6499</v>
      </c>
      <c r="B2128" s="11"/>
      <c r="C2128" s="1396">
        <v>9</v>
      </c>
      <c r="D2128" s="1396">
        <v>14624.362507174699</v>
      </c>
      <c r="E2128" s="1397">
        <v>9064.2255684313604</v>
      </c>
      <c r="F2128" s="1398">
        <v>1.6873768544341901</v>
      </c>
      <c r="G2128" s="1399">
        <v>1.05643932738928</v>
      </c>
    </row>
    <row r="2129" spans="1:7" x14ac:dyDescent="0.25">
      <c r="A2129" s="6" t="s">
        <v>6500</v>
      </c>
      <c r="B2129" s="6"/>
      <c r="C2129" s="1392">
        <v>7</v>
      </c>
      <c r="D2129" s="1392">
        <v>14062.0470218796</v>
      </c>
      <c r="E2129" s="1393">
        <v>10890.903728637801</v>
      </c>
      <c r="F2129" s="1394">
        <v>1.6224962051538301</v>
      </c>
      <c r="G2129" s="1395">
        <v>1.2348392000328501</v>
      </c>
    </row>
    <row r="2130" spans="1:7" x14ac:dyDescent="0.25">
      <c r="A2130" s="11" t="s">
        <v>6501</v>
      </c>
      <c r="B2130" s="11"/>
      <c r="C2130" s="1396">
        <v>7</v>
      </c>
      <c r="D2130" s="1396">
        <v>13846.305755745099</v>
      </c>
      <c r="E2130" s="1397">
        <v>8222.8202834937601</v>
      </c>
      <c r="F2130" s="1398">
        <v>1.59760371367989</v>
      </c>
      <c r="G2130" s="1399">
        <v>1.00599303120476</v>
      </c>
    </row>
    <row r="2131" spans="1:7" x14ac:dyDescent="0.25">
      <c r="A2131" s="6" t="s">
        <v>6502</v>
      </c>
      <c r="B2131" s="6"/>
      <c r="C2131" s="1392">
        <v>4</v>
      </c>
      <c r="D2131" s="1392">
        <v>13439.7534334747</v>
      </c>
      <c r="E2131" s="1393">
        <v>10045.996258191501</v>
      </c>
      <c r="F2131" s="1394">
        <v>1.55069520889009</v>
      </c>
      <c r="G2131" s="1395">
        <v>1.17399134661783</v>
      </c>
    </row>
    <row r="2132" spans="1:7" x14ac:dyDescent="0.25">
      <c r="A2132" s="11" t="s">
        <v>6503</v>
      </c>
      <c r="B2132" s="11"/>
      <c r="C2132" s="1396">
        <v>6</v>
      </c>
      <c r="D2132" s="1396">
        <v>13172.176524827901</v>
      </c>
      <c r="E2132" s="1397">
        <v>9461.11573005828</v>
      </c>
      <c r="F2132" s="1398">
        <v>1.5198218575074101</v>
      </c>
      <c r="G2132" s="1399">
        <v>1.1388316761159001</v>
      </c>
    </row>
    <row r="2133" spans="1:7" x14ac:dyDescent="0.25">
      <c r="A2133" s="6" t="s">
        <v>6504</v>
      </c>
      <c r="B2133" s="6"/>
      <c r="C2133" s="1392">
        <v>8</v>
      </c>
      <c r="D2133" s="1392">
        <v>11474.572395204201</v>
      </c>
      <c r="E2133" s="1393">
        <v>9252.0569775778804</v>
      </c>
      <c r="F2133" s="1394">
        <v>1.3239502142194599</v>
      </c>
      <c r="G2133" s="1395">
        <v>1.06162732946947</v>
      </c>
    </row>
    <row r="2134" spans="1:7" x14ac:dyDescent="0.25">
      <c r="A2134" s="11" t="s">
        <v>6505</v>
      </c>
      <c r="B2134" s="11"/>
      <c r="C2134" s="1396">
        <v>8</v>
      </c>
      <c r="D2134" s="1396">
        <v>11385.3553553404</v>
      </c>
      <c r="E2134" s="1397">
        <v>6155.1121537931303</v>
      </c>
      <c r="F2134" s="1398">
        <v>1.31365624290868</v>
      </c>
      <c r="G2134" s="1399">
        <v>0.74341166023469996</v>
      </c>
    </row>
    <row r="2135" spans="1:7" x14ac:dyDescent="0.25">
      <c r="A2135" s="6" t="s">
        <v>6506</v>
      </c>
      <c r="B2135" s="6"/>
      <c r="C2135" s="1392">
        <v>6</v>
      </c>
      <c r="D2135" s="1392">
        <v>10710.668988588999</v>
      </c>
      <c r="E2135" s="1393">
        <v>9164.7719602160705</v>
      </c>
      <c r="F2135" s="1394">
        <v>1.23581010372141</v>
      </c>
      <c r="G2135" s="1395">
        <v>1.0865929318285199</v>
      </c>
    </row>
    <row r="2136" spans="1:7" x14ac:dyDescent="0.25">
      <c r="A2136" s="11" t="s">
        <v>6507</v>
      </c>
      <c r="B2136" s="11"/>
      <c r="C2136" s="1396">
        <v>9</v>
      </c>
      <c r="D2136" s="1396">
        <v>10231.7984874827</v>
      </c>
      <c r="E2136" s="1397">
        <v>9422.6918823465403</v>
      </c>
      <c r="F2136" s="1398">
        <v>1.1805574388998401</v>
      </c>
      <c r="G2136" s="1399">
        <v>1.12694379613605</v>
      </c>
    </row>
    <row r="2137" spans="1:7" x14ac:dyDescent="0.25">
      <c r="A2137" s="6" t="s">
        <v>6508</v>
      </c>
      <c r="B2137" s="6"/>
      <c r="C2137" s="1392">
        <v>7</v>
      </c>
      <c r="D2137" s="1392">
        <v>9912.4826995409894</v>
      </c>
      <c r="E2137" s="1393">
        <v>9734.8194510702997</v>
      </c>
      <c r="F2137" s="1394">
        <v>1.1437143922669499</v>
      </c>
      <c r="G2137" s="1395">
        <v>1.1364740982249799</v>
      </c>
    </row>
    <row r="2138" spans="1:7" x14ac:dyDescent="0.25">
      <c r="A2138" s="11" t="s">
        <v>6509</v>
      </c>
      <c r="B2138" s="11"/>
      <c r="C2138" s="1396">
        <v>5</v>
      </c>
      <c r="D2138" s="1396">
        <v>9542.5608864161295</v>
      </c>
      <c r="E2138" s="1397">
        <v>7746.06703388599</v>
      </c>
      <c r="F2138" s="1398">
        <v>1.10103236047848</v>
      </c>
      <c r="G2138" s="1399">
        <v>0.89581176534570495</v>
      </c>
    </row>
    <row r="2139" spans="1:7" x14ac:dyDescent="0.25">
      <c r="A2139" s="6" t="s">
        <v>6510</v>
      </c>
      <c r="B2139" s="6"/>
      <c r="C2139" s="1392">
        <v>9</v>
      </c>
      <c r="D2139" s="1392">
        <v>9009.5388058858007</v>
      </c>
      <c r="E2139" s="1393">
        <v>4381.9709787004904</v>
      </c>
      <c r="F2139" s="1394">
        <v>1.0395316201113101</v>
      </c>
      <c r="G2139" s="1395">
        <v>0.481930120045653</v>
      </c>
    </row>
    <row r="2140" spans="1:7" x14ac:dyDescent="0.25">
      <c r="A2140" s="11" t="s">
        <v>6511</v>
      </c>
      <c r="B2140" s="11"/>
      <c r="C2140" s="1396">
        <v>5</v>
      </c>
      <c r="D2140" s="1396">
        <v>8896.0602753189705</v>
      </c>
      <c r="E2140" s="1397">
        <v>9581.74892650127</v>
      </c>
      <c r="F2140" s="1398">
        <v>1.02643832829365</v>
      </c>
      <c r="G2140" s="1399">
        <v>1.14081188122231</v>
      </c>
    </row>
    <row r="2141" spans="1:7" x14ac:dyDescent="0.25">
      <c r="A2141" s="6" t="s">
        <v>6512</v>
      </c>
      <c r="B2141" s="6"/>
      <c r="C2141" s="1392">
        <v>6</v>
      </c>
      <c r="D2141" s="1392">
        <v>8561.1749376128791</v>
      </c>
      <c r="E2141" s="1393">
        <v>6184.3126918051203</v>
      </c>
      <c r="F2141" s="1394">
        <v>0.98779884794314199</v>
      </c>
      <c r="G2141" s="1395">
        <v>0.68825798850999398</v>
      </c>
    </row>
    <row r="2142" spans="1:7" x14ac:dyDescent="0.25">
      <c r="A2142" s="11" t="s">
        <v>6513</v>
      </c>
      <c r="B2142" s="11"/>
      <c r="C2142" s="1396">
        <v>8</v>
      </c>
      <c r="D2142" s="1396">
        <v>8467.9423689230007</v>
      </c>
      <c r="E2142" s="1397">
        <v>5728.1320972473804</v>
      </c>
      <c r="F2142" s="1398">
        <v>0.97704155999916698</v>
      </c>
      <c r="G2142" s="1399">
        <v>0.68543034334816899</v>
      </c>
    </row>
    <row r="2143" spans="1:7" x14ac:dyDescent="0.25">
      <c r="A2143" s="6" t="s">
        <v>6514</v>
      </c>
      <c r="B2143" s="6"/>
      <c r="C2143" s="1392">
        <v>5</v>
      </c>
      <c r="D2143" s="1392">
        <v>8210.5872113467794</v>
      </c>
      <c r="E2143" s="1393">
        <v>8489.2133696806304</v>
      </c>
      <c r="F2143" s="1394">
        <v>0.94734760677212404</v>
      </c>
      <c r="G2143" s="1395">
        <v>0.99828671240024702</v>
      </c>
    </row>
    <row r="2144" spans="1:7" x14ac:dyDescent="0.25">
      <c r="A2144" s="11" t="s">
        <v>6515</v>
      </c>
      <c r="B2144" s="11"/>
      <c r="C2144" s="1396">
        <v>7</v>
      </c>
      <c r="D2144" s="1396">
        <v>7698.7752595273796</v>
      </c>
      <c r="E2144" s="1397">
        <v>6784.2599967106898</v>
      </c>
      <c r="F2144" s="1398">
        <v>0.88829411702861105</v>
      </c>
      <c r="G2144" s="1399">
        <v>0.79107509238157903</v>
      </c>
    </row>
    <row r="2145" spans="1:7" x14ac:dyDescent="0.25">
      <c r="A2145" s="6" t="s">
        <v>6516</v>
      </c>
      <c r="B2145" s="6"/>
      <c r="C2145" s="1392">
        <v>6</v>
      </c>
      <c r="D2145" s="1392">
        <v>7133.7199301481696</v>
      </c>
      <c r="E2145" s="1393">
        <v>5434.1942122542496</v>
      </c>
      <c r="F2145" s="1394">
        <v>0.82309734118273203</v>
      </c>
      <c r="G2145" s="1395">
        <v>0.65127897782989896</v>
      </c>
    </row>
    <row r="2146" spans="1:7" x14ac:dyDescent="0.25">
      <c r="A2146" s="11" t="s">
        <v>6517</v>
      </c>
      <c r="B2146" s="11"/>
      <c r="C2146" s="1396">
        <v>5</v>
      </c>
      <c r="D2146" s="1396">
        <v>6785.7866130392704</v>
      </c>
      <c r="E2146" s="1397">
        <v>6835.5589752881697</v>
      </c>
      <c r="F2146" s="1398">
        <v>0.78295236899074505</v>
      </c>
      <c r="G2146" s="1399">
        <v>0.79347868618192796</v>
      </c>
    </row>
    <row r="2147" spans="1:7" x14ac:dyDescent="0.25">
      <c r="A2147" s="6" t="s">
        <v>6518</v>
      </c>
      <c r="B2147" s="6"/>
      <c r="C2147" s="1392">
        <v>6</v>
      </c>
      <c r="D2147" s="1392">
        <v>6300.2373324276796</v>
      </c>
      <c r="E2147" s="1393">
        <v>5377.2714730041098</v>
      </c>
      <c r="F2147" s="1394">
        <v>0.72692909841131104</v>
      </c>
      <c r="G2147" s="1395">
        <v>0.65005073809620295</v>
      </c>
    </row>
    <row r="2148" spans="1:7" x14ac:dyDescent="0.25">
      <c r="A2148" s="11" t="s">
        <v>6519</v>
      </c>
      <c r="B2148" s="11"/>
      <c r="C2148" s="1396">
        <v>8</v>
      </c>
      <c r="D2148" s="1396">
        <v>6270.9123446048497</v>
      </c>
      <c r="E2148" s="1397">
        <v>4644.9668017838303</v>
      </c>
      <c r="F2148" s="1398">
        <v>0.72354554540621197</v>
      </c>
      <c r="G2148" s="1399">
        <v>0.56935482386687597</v>
      </c>
    </row>
    <row r="2149" spans="1:7" x14ac:dyDescent="0.25">
      <c r="A2149" s="6" t="s">
        <v>6520</v>
      </c>
      <c r="B2149" s="6"/>
      <c r="C2149" s="1392">
        <v>4</v>
      </c>
      <c r="D2149" s="1392">
        <v>6062.4010117990201</v>
      </c>
      <c r="E2149" s="1393">
        <v>4875.5082716721599</v>
      </c>
      <c r="F2149" s="1394">
        <v>0.69948725249319199</v>
      </c>
      <c r="G2149" s="1395">
        <v>0.58502904565882596</v>
      </c>
    </row>
    <row r="2150" spans="1:7" x14ac:dyDescent="0.25">
      <c r="A2150" s="11" t="s">
        <v>6521</v>
      </c>
      <c r="B2150" s="11"/>
      <c r="C2150" s="1396">
        <v>6</v>
      </c>
      <c r="D2150" s="1396">
        <v>6042.5782043815998</v>
      </c>
      <c r="E2150" s="1397">
        <v>4139.4570602976</v>
      </c>
      <c r="F2150" s="1398">
        <v>0.69720007269922502</v>
      </c>
      <c r="G2150" s="1399">
        <v>0.49076565838408798</v>
      </c>
    </row>
    <row r="2151" spans="1:7" x14ac:dyDescent="0.25">
      <c r="A2151" s="6" t="s">
        <v>6522</v>
      </c>
      <c r="B2151" s="6"/>
      <c r="C2151" s="1392">
        <v>7</v>
      </c>
      <c r="D2151" s="1392">
        <v>5687.4957234183303</v>
      </c>
      <c r="E2151" s="1393">
        <v>3031.7966277067699</v>
      </c>
      <c r="F2151" s="1394">
        <v>0.65623022122716701</v>
      </c>
      <c r="G2151" s="1395">
        <v>0.37304116748209498</v>
      </c>
    </row>
    <row r="2152" spans="1:7" x14ac:dyDescent="0.25">
      <c r="A2152" s="11" t="s">
        <v>6523</v>
      </c>
      <c r="B2152" s="11"/>
      <c r="C2152" s="1396">
        <v>7</v>
      </c>
      <c r="D2152" s="1396">
        <v>5578.3611622386597</v>
      </c>
      <c r="E2152" s="1397">
        <v>2857.9861105156101</v>
      </c>
      <c r="F2152" s="1398">
        <v>0.64363814191683399</v>
      </c>
      <c r="G2152" s="1399">
        <v>0.35058063605557999</v>
      </c>
    </row>
    <row r="2153" spans="1:7" x14ac:dyDescent="0.25">
      <c r="A2153" s="6" t="s">
        <v>6524</v>
      </c>
      <c r="B2153" s="6"/>
      <c r="C2153" s="1392">
        <v>11</v>
      </c>
      <c r="D2153" s="1392">
        <v>5301.3726069414197</v>
      </c>
      <c r="E2153" s="1393">
        <v>5039.2308141938802</v>
      </c>
      <c r="F2153" s="1394">
        <v>0.61167886321853704</v>
      </c>
      <c r="G2153" s="1395">
        <v>0.60603403586800397</v>
      </c>
    </row>
    <row r="2154" spans="1:7" x14ac:dyDescent="0.25">
      <c r="A2154" s="11" t="s">
        <v>6525</v>
      </c>
      <c r="B2154" s="11"/>
      <c r="C2154" s="1396">
        <v>5</v>
      </c>
      <c r="D2154" s="1396">
        <v>5166.9827081718004</v>
      </c>
      <c r="E2154" s="1397">
        <v>2172.4928654492801</v>
      </c>
      <c r="F2154" s="1398">
        <v>0.59617279213049001</v>
      </c>
      <c r="G2154" s="1399">
        <v>0.262315027916451</v>
      </c>
    </row>
    <row r="2155" spans="1:7" x14ac:dyDescent="0.25">
      <c r="A2155" s="6" t="s">
        <v>6526</v>
      </c>
      <c r="B2155" s="6"/>
      <c r="C2155" s="1392">
        <v>7</v>
      </c>
      <c r="D2155" s="1392">
        <v>4527.8584588468402</v>
      </c>
      <c r="E2155" s="1393">
        <v>3515.4041598675399</v>
      </c>
      <c r="F2155" s="1394">
        <v>0.52242985359970096</v>
      </c>
      <c r="G2155" s="1395">
        <v>0.42298013154043301</v>
      </c>
    </row>
    <row r="2156" spans="1:7" x14ac:dyDescent="0.25">
      <c r="A2156" s="11" t="s">
        <v>6527</v>
      </c>
      <c r="B2156" s="11"/>
      <c r="C2156" s="1396">
        <v>4</v>
      </c>
      <c r="D2156" s="1396">
        <v>4508.2123312819904</v>
      </c>
      <c r="E2156" s="1397">
        <v>4463.4420475690304</v>
      </c>
      <c r="F2156" s="1398">
        <v>0.52016305934347695</v>
      </c>
      <c r="G2156" s="1399">
        <v>0.52494382015213004</v>
      </c>
    </row>
    <row r="2157" spans="1:7" x14ac:dyDescent="0.25">
      <c r="A2157" s="6" t="s">
        <v>6528</v>
      </c>
      <c r="B2157" s="6"/>
      <c r="C2157" s="1392">
        <v>6</v>
      </c>
      <c r="D2157" s="1392">
        <v>3784.1238152183801</v>
      </c>
      <c r="E2157" s="1393">
        <v>2220.00385012781</v>
      </c>
      <c r="F2157" s="1394">
        <v>0.43661683967284698</v>
      </c>
      <c r="G2157" s="1395">
        <v>0.25632799048585803</v>
      </c>
    </row>
    <row r="2158" spans="1:7" x14ac:dyDescent="0.25">
      <c r="A2158" s="11" t="s">
        <v>6529</v>
      </c>
      <c r="B2158" s="11"/>
      <c r="C2158" s="1396">
        <v>3</v>
      </c>
      <c r="D2158" s="1396">
        <v>3589.3260512390698</v>
      </c>
      <c r="E2158" s="1397">
        <v>2804.6984432310501</v>
      </c>
      <c r="F2158" s="1398">
        <v>0.41414083512407102</v>
      </c>
      <c r="G2158" s="1399">
        <v>0.338994665294862</v>
      </c>
    </row>
    <row r="2159" spans="1:7" x14ac:dyDescent="0.25">
      <c r="A2159" s="6" t="s">
        <v>6530</v>
      </c>
      <c r="B2159" s="6"/>
      <c r="C2159" s="1392">
        <v>3</v>
      </c>
      <c r="D2159" s="1392">
        <v>3442.1813734038801</v>
      </c>
      <c r="E2159" s="1393">
        <v>3526.3367819229602</v>
      </c>
      <c r="F2159" s="1394">
        <v>0.39716310200849297</v>
      </c>
      <c r="G2159" s="1395">
        <v>0.411393176940962</v>
      </c>
    </row>
    <row r="2160" spans="1:7" x14ac:dyDescent="0.25">
      <c r="A2160" s="11" t="s">
        <v>6531</v>
      </c>
      <c r="B2160" s="11"/>
      <c r="C2160" s="1396">
        <v>5</v>
      </c>
      <c r="D2160" s="1396">
        <v>3391.58014102065</v>
      </c>
      <c r="E2160" s="1397">
        <v>2129.7415549078701</v>
      </c>
      <c r="F2160" s="1398">
        <v>0.391324669852054</v>
      </c>
      <c r="G2160" s="1399">
        <v>0.25752138623818099</v>
      </c>
    </row>
    <row r="2161" spans="1:7" x14ac:dyDescent="0.25">
      <c r="A2161" s="6" t="s">
        <v>6532</v>
      </c>
      <c r="B2161" s="6"/>
      <c r="C2161" s="1392">
        <v>6</v>
      </c>
      <c r="D2161" s="1392">
        <v>3070.9138483377701</v>
      </c>
      <c r="E2161" s="1393">
        <v>1848.3257991796499</v>
      </c>
      <c r="F2161" s="1394">
        <v>0.35432580032834898</v>
      </c>
      <c r="G2161" s="1395">
        <v>0.226026262713412</v>
      </c>
    </row>
    <row r="2162" spans="1:7" x14ac:dyDescent="0.25">
      <c r="A2162" s="11" t="s">
        <v>6533</v>
      </c>
      <c r="B2162" s="11"/>
      <c r="C2162" s="1396">
        <v>2</v>
      </c>
      <c r="D2162" s="1396">
        <v>2988.1380040058998</v>
      </c>
      <c r="E2162" s="1397">
        <v>3070.0019971173701</v>
      </c>
      <c r="F2162" s="1398">
        <v>0.34477502204565003</v>
      </c>
      <c r="G2162" s="1399">
        <v>0.361061539611013</v>
      </c>
    </row>
    <row r="2163" spans="1:7" x14ac:dyDescent="0.25">
      <c r="A2163" s="6" t="s">
        <v>6534</v>
      </c>
      <c r="B2163" s="6"/>
      <c r="C2163" s="1392">
        <v>3</v>
      </c>
      <c r="D2163" s="1392">
        <v>2348.9035008852902</v>
      </c>
      <c r="E2163" s="1393">
        <v>1937.87072954018</v>
      </c>
      <c r="F2163" s="1394">
        <v>0.27101936229690698</v>
      </c>
      <c r="G2163" s="1395">
        <v>0.22501522205926699</v>
      </c>
    </row>
    <row r="2164" spans="1:7" x14ac:dyDescent="0.25">
      <c r="A2164" s="11" t="s">
        <v>6535</v>
      </c>
      <c r="B2164" s="11"/>
      <c r="C2164" s="1396">
        <v>4</v>
      </c>
      <c r="D2164" s="1396">
        <v>2307.5667440183602</v>
      </c>
      <c r="E2164" s="1397">
        <v>1636.70308554801</v>
      </c>
      <c r="F2164" s="1398">
        <v>0.266249876670411</v>
      </c>
      <c r="G2164" s="1399">
        <v>0.19924285354544699</v>
      </c>
    </row>
    <row r="2165" spans="1:7" x14ac:dyDescent="0.25">
      <c r="A2165" s="6" t="s">
        <v>6536</v>
      </c>
      <c r="B2165" s="6"/>
      <c r="C2165" s="1392">
        <v>2</v>
      </c>
      <c r="D2165" s="1392">
        <v>1732.53591351415</v>
      </c>
      <c r="E2165" s="1393">
        <v>1859.4377195617501</v>
      </c>
      <c r="F2165" s="1394">
        <v>0.19990211528916499</v>
      </c>
      <c r="G2165" s="1395">
        <v>0.215350165639039</v>
      </c>
    </row>
    <row r="2166" spans="1:7" x14ac:dyDescent="0.25">
      <c r="A2166" s="11" t="s">
        <v>6537</v>
      </c>
      <c r="B2166" s="11"/>
      <c r="C2166" s="1396">
        <v>3</v>
      </c>
      <c r="D2166" s="1396">
        <v>1575.2825123765499</v>
      </c>
      <c r="E2166" s="1397">
        <v>1604.15329151534</v>
      </c>
      <c r="F2166" s="1398">
        <v>0.18175802530025401</v>
      </c>
      <c r="G2166" s="1399">
        <v>0.190536924463791</v>
      </c>
    </row>
    <row r="2167" spans="1:7" x14ac:dyDescent="0.25">
      <c r="A2167" s="6" t="s">
        <v>6538</v>
      </c>
      <c r="B2167" s="6"/>
      <c r="C2167" s="1392">
        <v>10</v>
      </c>
      <c r="D2167" s="1392">
        <v>1146.6937324927301</v>
      </c>
      <c r="E2167" s="1393">
        <v>660.82094808172894</v>
      </c>
      <c r="F2167" s="1394">
        <v>0.132306927046134</v>
      </c>
      <c r="G2167" s="1395">
        <v>8.0090092782602998E-2</v>
      </c>
    </row>
    <row r="2168" spans="1:7" x14ac:dyDescent="0.25">
      <c r="A2168" s="11" t="s">
        <v>6539</v>
      </c>
      <c r="B2168" s="11"/>
      <c r="C2168" s="1396">
        <v>4</v>
      </c>
      <c r="D2168" s="1396">
        <v>748.88515874704206</v>
      </c>
      <c r="E2168" s="1397">
        <v>721.59524752145603</v>
      </c>
      <c r="F2168" s="1398">
        <v>8.6407286668330793E-2</v>
      </c>
      <c r="G2168" s="1399">
        <v>8.6900354932957793E-2</v>
      </c>
    </row>
    <row r="2169" spans="1:7" x14ac:dyDescent="0.25">
      <c r="A2169" s="6" t="s">
        <v>6540</v>
      </c>
      <c r="B2169" s="6"/>
      <c r="C2169" s="1392">
        <v>1</v>
      </c>
      <c r="D2169" s="1392">
        <v>685.15079408911799</v>
      </c>
      <c r="E2169" s="1393">
        <v>691.58353227007501</v>
      </c>
      <c r="F2169" s="1394">
        <v>7.9053537627776893E-2</v>
      </c>
      <c r="G2169" s="1395">
        <v>8.1345165273711995E-2</v>
      </c>
    </row>
    <row r="2170" spans="1:7" x14ac:dyDescent="0.25">
      <c r="A2170" s="11" t="s">
        <v>6541</v>
      </c>
      <c r="B2170" s="11"/>
      <c r="C2170" s="1396">
        <v>4</v>
      </c>
      <c r="D2170" s="1396">
        <v>578.55738789649797</v>
      </c>
      <c r="E2170" s="1397">
        <v>654.23872850248097</v>
      </c>
      <c r="F2170" s="1398">
        <v>6.6754659891636994E-2</v>
      </c>
      <c r="G2170" s="1399">
        <v>7.8824718458884793E-2</v>
      </c>
    </row>
    <row r="2171" spans="1:7" x14ac:dyDescent="0.25">
      <c r="A2171" s="6" t="s">
        <v>6542</v>
      </c>
      <c r="B2171" s="6"/>
      <c r="C2171" s="1392">
        <v>4</v>
      </c>
      <c r="D2171" s="1392">
        <v>554.22211360039796</v>
      </c>
      <c r="E2171" s="1393">
        <v>539.34510275397997</v>
      </c>
      <c r="F2171" s="1394">
        <v>6.3946826143437593E-2</v>
      </c>
      <c r="G2171" s="1395">
        <v>6.4039571492152905E-2</v>
      </c>
    </row>
    <row r="2172" spans="1:7" x14ac:dyDescent="0.25">
      <c r="A2172" s="11" t="s">
        <v>6543</v>
      </c>
      <c r="B2172" s="11"/>
      <c r="C2172" s="1396">
        <v>1</v>
      </c>
      <c r="D2172" s="1396">
        <v>176.56318844859899</v>
      </c>
      <c r="E2172" s="1397">
        <v>186.071552919048</v>
      </c>
      <c r="F2172" s="1398">
        <v>2.03720768947778E-2</v>
      </c>
      <c r="G2172" s="1399">
        <v>2.2107265406630501E-2</v>
      </c>
    </row>
    <row r="2173" spans="1:7" x14ac:dyDescent="0.25">
      <c r="A2173" s="6" t="s">
        <v>6544</v>
      </c>
      <c r="B2173" s="6"/>
      <c r="C2173" s="1392">
        <v>5</v>
      </c>
      <c r="D2173" s="1392">
        <v>140.06230296350299</v>
      </c>
      <c r="E2173" s="1393">
        <v>82.467814640661601</v>
      </c>
      <c r="F2173" s="1394">
        <v>1.61605600301153E-2</v>
      </c>
      <c r="G2173" s="1395">
        <v>1.01979322379653E-2</v>
      </c>
    </row>
    <row r="2174" spans="1:7" x14ac:dyDescent="0.25">
      <c r="A2174" s="11" t="s">
        <v>6545</v>
      </c>
      <c r="B2174" s="11"/>
      <c r="C2174" s="1396">
        <v>2</v>
      </c>
      <c r="D2174" s="1396">
        <v>115.972201130656</v>
      </c>
      <c r="E2174" s="1397">
        <v>71.983355698791897</v>
      </c>
      <c r="F2174" s="1398">
        <v>1.33810145809536E-2</v>
      </c>
      <c r="G2174" s="1399">
        <v>8.0586666071386908E-3</v>
      </c>
    </row>
    <row r="2175" spans="1:7" x14ac:dyDescent="0.25">
      <c r="A2175" s="6" t="s">
        <v>6546</v>
      </c>
      <c r="B2175" s="6"/>
      <c r="C2175" s="1392">
        <v>3</v>
      </c>
      <c r="D2175" s="1392">
        <v>82.008700863985894</v>
      </c>
      <c r="E2175" s="1393">
        <v>83.937185501731307</v>
      </c>
      <c r="F2175" s="1394">
        <v>9.4622643299643403E-3</v>
      </c>
      <c r="G2175" s="1395">
        <v>9.8814137119881702E-3</v>
      </c>
    </row>
    <row r="2176" spans="1:7" x14ac:dyDescent="0.25">
      <c r="A2176" s="11" t="s">
        <v>982</v>
      </c>
      <c r="B2176" s="11" t="s">
        <v>983</v>
      </c>
      <c r="C2176" s="1396">
        <v>5572</v>
      </c>
      <c r="D2176" s="1396">
        <v>5954699.0764991296</v>
      </c>
      <c r="E2176" s="1397">
        <v>86104.703587800104</v>
      </c>
      <c r="F2176" s="1398">
        <v>99.888049492110696</v>
      </c>
      <c r="G2176" s="1399">
        <v>8.2249108573316701E-2</v>
      </c>
    </row>
    <row r="2177" spans="1:7" x14ac:dyDescent="0.25">
      <c r="A2177" s="6" t="s">
        <v>978</v>
      </c>
      <c r="B2177" s="6" t="s">
        <v>979</v>
      </c>
      <c r="C2177" s="1392">
        <v>4</v>
      </c>
      <c r="D2177" s="1392">
        <v>6643.8434524263203</v>
      </c>
      <c r="E2177" s="1393">
        <v>4914.5742080339196</v>
      </c>
      <c r="F2177" s="1394">
        <v>0.111448211751443</v>
      </c>
      <c r="G2177" s="1395">
        <v>8.2270107763991004E-2</v>
      </c>
    </row>
    <row r="2178" spans="1:7" x14ac:dyDescent="0.25">
      <c r="A2178" s="11" t="s">
        <v>980</v>
      </c>
      <c r="B2178" s="11" t="s">
        <v>981</v>
      </c>
      <c r="C2178" s="1396">
        <v>1</v>
      </c>
      <c r="D2178" s="1396">
        <v>29.9437456557167</v>
      </c>
      <c r="E2178" s="1397">
        <v>30.356222385488799</v>
      </c>
      <c r="F2178" s="1398">
        <v>5.0229613782530201E-4</v>
      </c>
      <c r="G2178" s="1399">
        <v>5.0703066584021099E-4</v>
      </c>
    </row>
    <row r="2179" spans="1:7" x14ac:dyDescent="0.25">
      <c r="A2179" s="6" t="s">
        <v>6293</v>
      </c>
      <c r="B2179" s="6" t="s">
        <v>6294</v>
      </c>
      <c r="C2179" s="1392">
        <v>504</v>
      </c>
      <c r="D2179" s="1392">
        <v>866692.13630280097</v>
      </c>
      <c r="E2179" s="1393">
        <v>86096.053141689394</v>
      </c>
      <c r="F2179" s="1394">
        <v>12.6930856150725</v>
      </c>
      <c r="G2179" s="1395">
        <v>1.26091437532724</v>
      </c>
    </row>
    <row r="2180" spans="1:7" x14ac:dyDescent="0.25">
      <c r="A2180" s="11" t="s">
        <v>6293</v>
      </c>
      <c r="B2180" s="11" t="s">
        <v>6295</v>
      </c>
      <c r="C2180" s="1396">
        <v>6081</v>
      </c>
      <c r="D2180" s="1396">
        <v>6828065.0000000102</v>
      </c>
      <c r="E2180" s="1397">
        <v>0</v>
      </c>
      <c r="F2180" s="1398">
        <v>100</v>
      </c>
      <c r="G2180" s="1399">
        <v>0</v>
      </c>
    </row>
    <row r="2181" spans="1:7" x14ac:dyDescent="0.25">
      <c r="A2181" s="3353" t="s">
        <v>970</v>
      </c>
      <c r="B2181" s="3354"/>
      <c r="C2181" s="3354"/>
      <c r="D2181" s="3354"/>
      <c r="E2181" s="3354"/>
      <c r="F2181" s="3354"/>
      <c r="G2181" s="3354"/>
    </row>
    <row r="2182" spans="1:7" x14ac:dyDescent="0.25">
      <c r="A2182" s="11" t="s">
        <v>988</v>
      </c>
      <c r="B2182" s="11" t="s">
        <v>6193</v>
      </c>
      <c r="C2182" s="1404">
        <v>4</v>
      </c>
      <c r="D2182" s="1404">
        <v>6643.8434524263203</v>
      </c>
      <c r="E2182" s="1405">
        <v>4914.5742080339196</v>
      </c>
      <c r="F2182" s="1406">
        <v>100</v>
      </c>
      <c r="G2182" s="1407">
        <v>0</v>
      </c>
    </row>
    <row r="2183" spans="1:7" x14ac:dyDescent="0.25">
      <c r="A2183" s="6" t="s">
        <v>982</v>
      </c>
      <c r="B2183" s="6" t="s">
        <v>983</v>
      </c>
      <c r="C2183" s="1400">
        <v>6077</v>
      </c>
      <c r="D2183" s="1400">
        <v>6821421.1565475902</v>
      </c>
      <c r="E2183" s="1401">
        <v>4914.5742080516002</v>
      </c>
      <c r="F2183" s="1402">
        <v>100</v>
      </c>
      <c r="G2183" s="1403">
        <v>0</v>
      </c>
    </row>
    <row r="2184" spans="1:7" x14ac:dyDescent="0.25">
      <c r="A2184" s="11" t="s">
        <v>6293</v>
      </c>
      <c r="B2184" s="11" t="s">
        <v>6294</v>
      </c>
      <c r="C2184" s="1404">
        <v>4</v>
      </c>
      <c r="D2184" s="1404">
        <v>6643.8434524263203</v>
      </c>
      <c r="E2184" s="1405">
        <v>4914.5742080339196</v>
      </c>
      <c r="F2184" s="1406">
        <v>9.7301994817364901E-2</v>
      </c>
      <c r="G2184" s="1407">
        <v>7.19760899762074E-2</v>
      </c>
    </row>
    <row r="2185" spans="1:7" x14ac:dyDescent="0.25">
      <c r="A2185" s="6" t="s">
        <v>6293</v>
      </c>
      <c r="B2185" s="6" t="s">
        <v>6295</v>
      </c>
      <c r="C2185" s="1400">
        <v>6081</v>
      </c>
      <c r="D2185" s="1400">
        <v>6828065.0000000102</v>
      </c>
      <c r="E2185" s="1401">
        <v>0</v>
      </c>
      <c r="F2185" s="1402">
        <v>100</v>
      </c>
      <c r="G2185" s="1403">
        <v>0</v>
      </c>
    </row>
    <row r="2186" spans="1:7" x14ac:dyDescent="0.25">
      <c r="A2186" s="3353" t="s">
        <v>962</v>
      </c>
      <c r="B2186" s="3354"/>
      <c r="C2186" s="3354"/>
      <c r="D2186" s="3354"/>
      <c r="E2186" s="3354"/>
      <c r="F2186" s="3354"/>
      <c r="G2186" s="3354"/>
    </row>
    <row r="2187" spans="1:7" x14ac:dyDescent="0.25">
      <c r="A2187" s="11" t="s">
        <v>982</v>
      </c>
      <c r="B2187" s="11" t="s">
        <v>983</v>
      </c>
      <c r="C2187" s="1412">
        <v>1085</v>
      </c>
      <c r="D2187" s="1412">
        <v>2135401.2383230501</v>
      </c>
      <c r="E2187" s="1413">
        <v>68046.325103594296</v>
      </c>
      <c r="F2187" s="1414">
        <v>58.015620613328998</v>
      </c>
      <c r="G2187" s="1415">
        <v>1.94190060652214</v>
      </c>
    </row>
    <row r="2188" spans="1:7" x14ac:dyDescent="0.25">
      <c r="A2188" s="6" t="s">
        <v>1168</v>
      </c>
      <c r="B2188" s="6" t="s">
        <v>979</v>
      </c>
      <c r="C2188" s="1408">
        <v>1189</v>
      </c>
      <c r="D2188" s="1408">
        <v>1467316.1938106001</v>
      </c>
      <c r="E2188" s="1409">
        <v>103648.22206425099</v>
      </c>
      <c r="F2188" s="1410">
        <v>39.864760819732901</v>
      </c>
      <c r="G2188" s="1411">
        <v>1.83794441908455</v>
      </c>
    </row>
    <row r="2189" spans="1:7" x14ac:dyDescent="0.25">
      <c r="A2189" s="11" t="s">
        <v>1169</v>
      </c>
      <c r="B2189" s="11" t="s">
        <v>1041</v>
      </c>
      <c r="C2189" s="1412">
        <v>66</v>
      </c>
      <c r="D2189" s="1412">
        <v>77916.753171397999</v>
      </c>
      <c r="E2189" s="1413">
        <v>16772.4165705837</v>
      </c>
      <c r="F2189" s="1414">
        <v>2.1168802894223901</v>
      </c>
      <c r="G2189" s="1415">
        <v>0.430924981273347</v>
      </c>
    </row>
    <row r="2190" spans="1:7" x14ac:dyDescent="0.25">
      <c r="A2190" s="6" t="s">
        <v>996</v>
      </c>
      <c r="B2190" s="6" t="s">
        <v>997</v>
      </c>
      <c r="C2190" s="1408">
        <v>1</v>
      </c>
      <c r="D2190" s="1408">
        <v>70.827003584071605</v>
      </c>
      <c r="E2190" s="1409">
        <v>73.867266430674803</v>
      </c>
      <c r="F2190" s="1410">
        <v>1.92426252048973E-3</v>
      </c>
      <c r="G2190" s="1411">
        <v>2.0304275328648998E-3</v>
      </c>
    </row>
    <row r="2191" spans="1:7" x14ac:dyDescent="0.25">
      <c r="A2191" s="11" t="s">
        <v>980</v>
      </c>
      <c r="B2191" s="11" t="s">
        <v>1041</v>
      </c>
      <c r="C2191" s="1412">
        <v>1</v>
      </c>
      <c r="D2191" s="1412">
        <v>29.961734623370699</v>
      </c>
      <c r="E2191" s="1413">
        <v>30.685338525871</v>
      </c>
      <c r="F2191" s="1414">
        <v>8.1401499522955497E-4</v>
      </c>
      <c r="G2191" s="1415">
        <v>8.3384962996482402E-4</v>
      </c>
    </row>
    <row r="2192" spans="1:7" x14ac:dyDescent="0.25">
      <c r="A2192" s="6" t="s">
        <v>6293</v>
      </c>
      <c r="B2192" s="6" t="s">
        <v>6294</v>
      </c>
      <c r="C2192" s="1408">
        <v>3705</v>
      </c>
      <c r="D2192" s="1408">
        <v>3147330.0259567499</v>
      </c>
      <c r="E2192" s="1409">
        <v>127625.72021780501</v>
      </c>
      <c r="F2192" s="1410">
        <v>46.094025554190701</v>
      </c>
      <c r="G2192" s="1411">
        <v>1.8691345237311701</v>
      </c>
    </row>
    <row r="2193" spans="1:7" x14ac:dyDescent="0.25">
      <c r="A2193" s="11" t="s">
        <v>6293</v>
      </c>
      <c r="B2193" s="11" t="s">
        <v>6295</v>
      </c>
      <c r="C2193" s="1412">
        <v>6047</v>
      </c>
      <c r="D2193" s="1412">
        <v>6828065</v>
      </c>
      <c r="E2193" s="1413">
        <v>0</v>
      </c>
      <c r="F2193" s="1414">
        <v>100</v>
      </c>
      <c r="G2193" s="1415">
        <v>0</v>
      </c>
    </row>
    <row r="2194" spans="1:7" x14ac:dyDescent="0.25">
      <c r="A2194" s="3353" t="s">
        <v>841</v>
      </c>
      <c r="B2194" s="3354"/>
      <c r="C2194" s="3354"/>
      <c r="D2194" s="3354"/>
      <c r="E2194" s="3354"/>
      <c r="F2194" s="3354"/>
      <c r="G2194" s="3354"/>
    </row>
    <row r="2195" spans="1:7" x14ac:dyDescent="0.25">
      <c r="A2195" s="11" t="s">
        <v>984</v>
      </c>
      <c r="B2195" s="11" t="s">
        <v>1061</v>
      </c>
      <c r="C2195" s="1420">
        <v>682</v>
      </c>
      <c r="D2195" s="1420">
        <v>507922.661558008</v>
      </c>
      <c r="E2195" s="1421">
        <v>53367.726594475898</v>
      </c>
      <c r="F2195" s="1422">
        <v>99.859081824044296</v>
      </c>
      <c r="G2195" s="1423">
        <v>7.7663836443887205E-2</v>
      </c>
    </row>
    <row r="2196" spans="1:7" x14ac:dyDescent="0.25">
      <c r="A2196" s="6" t="s">
        <v>986</v>
      </c>
      <c r="B2196" s="6" t="s">
        <v>1062</v>
      </c>
      <c r="C2196" s="1416">
        <v>2</v>
      </c>
      <c r="D2196" s="1416">
        <v>716.76540266457596</v>
      </c>
      <c r="E2196" s="1417">
        <v>403.84979663659999</v>
      </c>
      <c r="F2196" s="1418">
        <v>0.14091817595571399</v>
      </c>
      <c r="G2196" s="1419">
        <v>7.7663836443879697E-2</v>
      </c>
    </row>
    <row r="2197" spans="1:7" x14ac:dyDescent="0.25">
      <c r="A2197" s="11" t="s">
        <v>982</v>
      </c>
      <c r="B2197" s="11" t="s">
        <v>983</v>
      </c>
      <c r="C2197" s="1420">
        <v>5396</v>
      </c>
      <c r="D2197" s="1420">
        <v>6319336.5593919298</v>
      </c>
      <c r="E2197" s="1421">
        <v>53513.819773804797</v>
      </c>
      <c r="F2197" s="1422">
        <v>99.998591428186302</v>
      </c>
      <c r="G2197" s="1423">
        <v>1.467893547735E-3</v>
      </c>
    </row>
    <row r="2198" spans="1:7" x14ac:dyDescent="0.25">
      <c r="A2198" s="6" t="s">
        <v>996</v>
      </c>
      <c r="B2198" s="6" t="s">
        <v>997</v>
      </c>
      <c r="C2198" s="1416">
        <v>1</v>
      </c>
      <c r="D2198" s="1416">
        <v>89.013647411878793</v>
      </c>
      <c r="E2198" s="1417">
        <v>92.754330723979507</v>
      </c>
      <c r="F2198" s="1418">
        <v>1.40857181373635E-3</v>
      </c>
      <c r="G2198" s="1419">
        <v>1.4678935477370101E-3</v>
      </c>
    </row>
    <row r="2199" spans="1:7" x14ac:dyDescent="0.25">
      <c r="A2199" s="11" t="s">
        <v>6293</v>
      </c>
      <c r="B2199" s="11" t="s">
        <v>6294</v>
      </c>
      <c r="C2199" s="1420">
        <v>684</v>
      </c>
      <c r="D2199" s="1420">
        <v>508639.42696067202</v>
      </c>
      <c r="E2199" s="1421">
        <v>53463.5856310503</v>
      </c>
      <c r="F2199" s="1422">
        <v>7.44924699692623</v>
      </c>
      <c r="G2199" s="1423">
        <v>0.78299760812250097</v>
      </c>
    </row>
    <row r="2200" spans="1:7" x14ac:dyDescent="0.25">
      <c r="A2200" s="6" t="s">
        <v>6293</v>
      </c>
      <c r="B2200" s="6" t="s">
        <v>6295</v>
      </c>
      <c r="C2200" s="1416">
        <v>6081</v>
      </c>
      <c r="D2200" s="1416">
        <v>6828065.0000000196</v>
      </c>
      <c r="E2200" s="1417">
        <v>0</v>
      </c>
      <c r="F2200" s="1418">
        <v>100</v>
      </c>
      <c r="G2200" s="1419">
        <v>0</v>
      </c>
    </row>
    <row r="2201" spans="1:7" x14ac:dyDescent="0.25">
      <c r="A2201" s="3353" t="s">
        <v>960</v>
      </c>
      <c r="B2201" s="3354"/>
      <c r="C2201" s="3354"/>
      <c r="D2201" s="3354"/>
      <c r="E2201" s="3354"/>
      <c r="F2201" s="3354"/>
      <c r="G2201" s="3354"/>
    </row>
    <row r="2202" spans="1:7" x14ac:dyDescent="0.25">
      <c r="A2202" s="11" t="s">
        <v>984</v>
      </c>
      <c r="B2202" s="11" t="s">
        <v>1163</v>
      </c>
      <c r="C2202" s="1428">
        <v>631</v>
      </c>
      <c r="D2202" s="1428">
        <v>671916.61507590499</v>
      </c>
      <c r="E2202" s="1429">
        <v>46402.880979623202</v>
      </c>
      <c r="F2202" s="1430">
        <v>44.1321623205028</v>
      </c>
      <c r="G2202" s="1431">
        <v>2.9728221869906601</v>
      </c>
    </row>
    <row r="2203" spans="1:7" x14ac:dyDescent="0.25">
      <c r="A2203" s="6" t="s">
        <v>986</v>
      </c>
      <c r="B2203" s="6" t="s">
        <v>1164</v>
      </c>
      <c r="C2203" s="1424">
        <v>330</v>
      </c>
      <c r="D2203" s="1424">
        <v>444257.58170995401</v>
      </c>
      <c r="E2203" s="1425">
        <v>65309.096434070801</v>
      </c>
      <c r="F2203" s="1426">
        <v>29.179286935660699</v>
      </c>
      <c r="G2203" s="1427">
        <v>2.8520562146463502</v>
      </c>
    </row>
    <row r="2204" spans="1:7" x14ac:dyDescent="0.25">
      <c r="A2204" s="11" t="s">
        <v>988</v>
      </c>
      <c r="B2204" s="11" t="s">
        <v>1165</v>
      </c>
      <c r="C2204" s="1428">
        <v>144</v>
      </c>
      <c r="D2204" s="1428">
        <v>205448.831369216</v>
      </c>
      <c r="E2204" s="1429">
        <v>45309.079593675597</v>
      </c>
      <c r="F2204" s="1430">
        <v>13.494086871954501</v>
      </c>
      <c r="G2204" s="1431">
        <v>2.89099299877808</v>
      </c>
    </row>
    <row r="2205" spans="1:7" x14ac:dyDescent="0.25">
      <c r="A2205" s="6" t="s">
        <v>992</v>
      </c>
      <c r="B2205" s="6" t="s">
        <v>6136</v>
      </c>
      <c r="C2205" s="1424">
        <v>64</v>
      </c>
      <c r="D2205" s="1424">
        <v>119185.070597107</v>
      </c>
      <c r="E2205" s="1425">
        <v>23398.465614116201</v>
      </c>
      <c r="F2205" s="1426">
        <v>7.8281958858509704</v>
      </c>
      <c r="G2205" s="1427">
        <v>1.1920815629788599</v>
      </c>
    </row>
    <row r="2206" spans="1:7" x14ac:dyDescent="0.25">
      <c r="A2206" s="11" t="s">
        <v>990</v>
      </c>
      <c r="B2206" s="11" t="s">
        <v>1166</v>
      </c>
      <c r="C2206" s="1428">
        <v>60</v>
      </c>
      <c r="D2206" s="1428">
        <v>81701.970426432206</v>
      </c>
      <c r="E2206" s="1429">
        <v>17364.6802777089</v>
      </c>
      <c r="F2206" s="1430">
        <v>5.3662679860311204</v>
      </c>
      <c r="G2206" s="1431">
        <v>1.1837239485194599</v>
      </c>
    </row>
    <row r="2207" spans="1:7" x14ac:dyDescent="0.25">
      <c r="A2207" s="6" t="s">
        <v>982</v>
      </c>
      <c r="B2207" s="6" t="s">
        <v>983</v>
      </c>
      <c r="C2207" s="1424">
        <v>4825</v>
      </c>
      <c r="D2207" s="1424">
        <v>5282802.0912833903</v>
      </c>
      <c r="E2207" s="1425">
        <v>110742.503975824</v>
      </c>
      <c r="F2207" s="1426">
        <v>99.571150617896194</v>
      </c>
      <c r="G2207" s="1427">
        <v>0.17829465431386299</v>
      </c>
    </row>
    <row r="2208" spans="1:7" x14ac:dyDescent="0.25">
      <c r="A2208" s="11" t="s">
        <v>980</v>
      </c>
      <c r="B2208" s="11" t="s">
        <v>981</v>
      </c>
      <c r="C2208" s="1428">
        <v>15</v>
      </c>
      <c r="D2208" s="1428">
        <v>20560.592786140602</v>
      </c>
      <c r="E2208" s="1429">
        <v>9696.0826653091608</v>
      </c>
      <c r="F2208" s="1430">
        <v>0.387529543171792</v>
      </c>
      <c r="G2208" s="1431">
        <v>0.18152179847319699</v>
      </c>
    </row>
    <row r="2209" spans="1:7" x14ac:dyDescent="0.25">
      <c r="A2209" s="6" t="s">
        <v>978</v>
      </c>
      <c r="B2209" s="6" t="s">
        <v>979</v>
      </c>
      <c r="C2209" s="1424">
        <v>12</v>
      </c>
      <c r="D2209" s="1424">
        <v>2192.2467518646599</v>
      </c>
      <c r="E2209" s="1425">
        <v>702.25490298188902</v>
      </c>
      <c r="F2209" s="1426">
        <v>4.1319838932009002E-2</v>
      </c>
      <c r="G2209" s="1427">
        <v>1.32825799254463E-2</v>
      </c>
    </row>
    <row r="2210" spans="1:7" x14ac:dyDescent="0.25">
      <c r="A2210" s="11" t="s">
        <v>6293</v>
      </c>
      <c r="B2210" s="11" t="s">
        <v>6294</v>
      </c>
      <c r="C2210" s="1428">
        <v>1229</v>
      </c>
      <c r="D2210" s="1428">
        <v>1522510.0691786101</v>
      </c>
      <c r="E2210" s="1429">
        <v>112435.44812101001</v>
      </c>
      <c r="F2210" s="1430">
        <v>22.297826238892199</v>
      </c>
      <c r="G2210" s="1431">
        <v>1.6466663413573901</v>
      </c>
    </row>
    <row r="2211" spans="1:7" x14ac:dyDescent="0.25">
      <c r="A2211" s="6" t="s">
        <v>6293</v>
      </c>
      <c r="B2211" s="6" t="s">
        <v>6295</v>
      </c>
      <c r="C2211" s="1424">
        <v>6081</v>
      </c>
      <c r="D2211" s="1424">
        <v>6828065.0000000102</v>
      </c>
      <c r="E2211" s="1425">
        <v>0</v>
      </c>
      <c r="F2211" s="1426">
        <v>100</v>
      </c>
      <c r="G2211" s="1427">
        <v>0</v>
      </c>
    </row>
    <row r="2212" spans="1:7" x14ac:dyDescent="0.25">
      <c r="A2212" s="3353" t="s">
        <v>510</v>
      </c>
      <c r="B2212" s="3354"/>
      <c r="C2212" s="3354"/>
      <c r="D2212" s="3354"/>
      <c r="E2212" s="3354"/>
      <c r="F2212" s="3354"/>
      <c r="G2212" s="3354"/>
    </row>
    <row r="2213" spans="1:7" x14ac:dyDescent="0.25">
      <c r="A2213" s="11" t="s">
        <v>984</v>
      </c>
      <c r="B2213" s="11" t="s">
        <v>6008</v>
      </c>
      <c r="C2213" s="1436">
        <v>4280</v>
      </c>
      <c r="D2213" s="1436">
        <v>4191817.01198836</v>
      </c>
      <c r="E2213" s="1437">
        <v>85767.291008376094</v>
      </c>
      <c r="F2213" s="1438">
        <v>61.3909945495299</v>
      </c>
      <c r="G2213" s="1439">
        <v>1.2560995100130601</v>
      </c>
    </row>
    <row r="2214" spans="1:7" x14ac:dyDescent="0.25">
      <c r="A2214" s="6" t="s">
        <v>986</v>
      </c>
      <c r="B2214" s="6" t="s">
        <v>6009</v>
      </c>
      <c r="C2214" s="1432">
        <v>1801</v>
      </c>
      <c r="D2214" s="1432">
        <v>2636247.98801164</v>
      </c>
      <c r="E2214" s="1433">
        <v>85767.291008370696</v>
      </c>
      <c r="F2214" s="1434">
        <v>38.6090054504701</v>
      </c>
      <c r="G2214" s="1435">
        <v>1.2560995100130501</v>
      </c>
    </row>
    <row r="2215" spans="1:7" x14ac:dyDescent="0.25">
      <c r="A2215" s="11" t="s">
        <v>6293</v>
      </c>
      <c r="B2215" s="11" t="s">
        <v>6294</v>
      </c>
      <c r="C2215" s="1436">
        <v>6081</v>
      </c>
      <c r="D2215" s="1436">
        <v>6828064.9999999898</v>
      </c>
      <c r="E2215" s="1437">
        <v>9.3674835438387401E-8</v>
      </c>
      <c r="F2215" s="1438">
        <v>100</v>
      </c>
      <c r="G2215" s="1439">
        <v>1.78031750616652E-14</v>
      </c>
    </row>
    <row r="2216" spans="1:7" x14ac:dyDescent="0.25">
      <c r="A2216" s="6" t="s">
        <v>6293</v>
      </c>
      <c r="B2216" s="6" t="s">
        <v>6295</v>
      </c>
      <c r="C2216" s="1432">
        <v>6081</v>
      </c>
      <c r="D2216" s="1432">
        <v>6828064.9999999898</v>
      </c>
      <c r="E2216" s="1433">
        <v>0</v>
      </c>
      <c r="F2216" s="1434">
        <v>100</v>
      </c>
      <c r="G2216" s="1435">
        <v>0</v>
      </c>
    </row>
    <row r="2217" spans="1:7" x14ac:dyDescent="0.25">
      <c r="A2217" s="3353" t="s">
        <v>895</v>
      </c>
      <c r="B2217" s="3354"/>
      <c r="C2217" s="3354"/>
      <c r="D2217" s="3354"/>
      <c r="E2217" s="3354"/>
      <c r="F2217" s="3354"/>
      <c r="G2217" s="3354"/>
    </row>
    <row r="2218" spans="1:7" x14ac:dyDescent="0.25">
      <c r="A2218" s="11" t="s">
        <v>984</v>
      </c>
      <c r="B2218" s="11"/>
      <c r="C2218" s="1444">
        <v>4482</v>
      </c>
      <c r="D2218" s="1444">
        <v>4855779.7275132397</v>
      </c>
      <c r="E2218" s="1445">
        <v>152881.933448014</v>
      </c>
      <c r="F2218" s="1446">
        <v>71.115019079537902</v>
      </c>
      <c r="G2218" s="1447">
        <v>2.2390228190272201</v>
      </c>
    </row>
    <row r="2219" spans="1:7" x14ac:dyDescent="0.25">
      <c r="A2219" s="6" t="s">
        <v>986</v>
      </c>
      <c r="B2219" s="6"/>
      <c r="C2219" s="1440">
        <v>1316</v>
      </c>
      <c r="D2219" s="1440">
        <v>1291836.8778872299</v>
      </c>
      <c r="E2219" s="1441">
        <v>79019.596010634297</v>
      </c>
      <c r="F2219" s="1442">
        <v>18.919516405998301</v>
      </c>
      <c r="G2219" s="1443">
        <v>1.1572765638674201</v>
      </c>
    </row>
    <row r="2220" spans="1:7" x14ac:dyDescent="0.25">
      <c r="A2220" s="11" t="s">
        <v>988</v>
      </c>
      <c r="B2220" s="11"/>
      <c r="C2220" s="1444">
        <v>196</v>
      </c>
      <c r="D2220" s="1444">
        <v>448734.28666274098</v>
      </c>
      <c r="E2220" s="1445">
        <v>68715.664624919795</v>
      </c>
      <c r="F2220" s="1446">
        <v>6.5719100017756302</v>
      </c>
      <c r="G2220" s="1447">
        <v>1.0063709795516</v>
      </c>
    </row>
    <row r="2221" spans="1:7" x14ac:dyDescent="0.25">
      <c r="A2221" s="6" t="s">
        <v>990</v>
      </c>
      <c r="B2221" s="6"/>
      <c r="C2221" s="1440">
        <v>62</v>
      </c>
      <c r="D2221" s="1440">
        <v>154632.331566273</v>
      </c>
      <c r="E2221" s="1441">
        <v>28456.3402781882</v>
      </c>
      <c r="F2221" s="1442">
        <v>2.2646581654725502</v>
      </c>
      <c r="G2221" s="1443">
        <v>0.41675555634265898</v>
      </c>
    </row>
    <row r="2222" spans="1:7" x14ac:dyDescent="0.25">
      <c r="A2222" s="11" t="s">
        <v>992</v>
      </c>
      <c r="B2222" s="11"/>
      <c r="C2222" s="1444">
        <v>16</v>
      </c>
      <c r="D2222" s="1444">
        <v>58265.461639054898</v>
      </c>
      <c r="E2222" s="1445">
        <v>23406.829361400702</v>
      </c>
      <c r="F2222" s="1446">
        <v>0.85332318364067905</v>
      </c>
      <c r="G2222" s="1447">
        <v>0.34280325921620097</v>
      </c>
    </row>
    <row r="2223" spans="1:7" x14ac:dyDescent="0.25">
      <c r="A2223" s="6" t="s">
        <v>994</v>
      </c>
      <c r="B2223" s="6"/>
      <c r="C2223" s="1440">
        <v>5</v>
      </c>
      <c r="D2223" s="1440">
        <v>13073.4259529961</v>
      </c>
      <c r="E2223" s="1441">
        <v>5714.8450329241696</v>
      </c>
      <c r="F2223" s="1442">
        <v>0.19146604423062899</v>
      </c>
      <c r="G2223" s="1443">
        <v>8.3696406418570804E-2</v>
      </c>
    </row>
    <row r="2224" spans="1:7" x14ac:dyDescent="0.25">
      <c r="A2224" s="11" t="s">
        <v>1003</v>
      </c>
      <c r="B2224" s="11"/>
      <c r="C2224" s="1444">
        <v>2</v>
      </c>
      <c r="D2224" s="1444">
        <v>5326.5588727656404</v>
      </c>
      <c r="E2224" s="1445">
        <v>4243.4935515672496</v>
      </c>
      <c r="F2224" s="1446">
        <v>7.8009785682556398E-2</v>
      </c>
      <c r="G2224" s="1447">
        <v>6.2147820086177502E-2</v>
      </c>
    </row>
    <row r="2225" spans="1:7" x14ac:dyDescent="0.25">
      <c r="A2225" s="6" t="s">
        <v>1013</v>
      </c>
      <c r="B2225" s="6"/>
      <c r="C2225" s="1440">
        <v>1</v>
      </c>
      <c r="D2225" s="1440">
        <v>416.32990569558899</v>
      </c>
      <c r="E2225" s="1441">
        <v>432.17106641712599</v>
      </c>
      <c r="F2225" s="1442">
        <v>6.0973336618147201E-3</v>
      </c>
      <c r="G2225" s="1443">
        <v>6.3293343929374602E-3</v>
      </c>
    </row>
    <row r="2226" spans="1:7" x14ac:dyDescent="0.25">
      <c r="A2226" s="11" t="s">
        <v>6293</v>
      </c>
      <c r="B2226" s="11" t="s">
        <v>6294</v>
      </c>
      <c r="C2226" s="1444">
        <v>6080</v>
      </c>
      <c r="D2226" s="1444">
        <v>6828065</v>
      </c>
      <c r="E2226" s="1445">
        <v>6.6476192326510397E-8</v>
      </c>
      <c r="F2226" s="1446">
        <v>100</v>
      </c>
      <c r="G2226" s="1447">
        <v>0</v>
      </c>
    </row>
    <row r="2227" spans="1:7" x14ac:dyDescent="0.25">
      <c r="A2227" s="6" t="s">
        <v>6293</v>
      </c>
      <c r="B2227" s="6" t="s">
        <v>6295</v>
      </c>
      <c r="C2227" s="1440">
        <v>6080</v>
      </c>
      <c r="D2227" s="1440">
        <v>6828065</v>
      </c>
      <c r="E2227" s="1441">
        <v>0</v>
      </c>
      <c r="F2227" s="1442">
        <v>100</v>
      </c>
      <c r="G2227" s="1443">
        <v>0</v>
      </c>
    </row>
    <row r="2228" spans="1:7" x14ac:dyDescent="0.25">
      <c r="A2228" s="3353" t="s">
        <v>807</v>
      </c>
      <c r="B2228" s="3354"/>
      <c r="C2228" s="3354"/>
      <c r="D2228" s="3354"/>
      <c r="E2228" s="3354"/>
      <c r="F2228" s="3354"/>
      <c r="G2228" s="3354"/>
    </row>
    <row r="2229" spans="1:7" x14ac:dyDescent="0.25">
      <c r="A2229" s="11" t="s">
        <v>986</v>
      </c>
      <c r="B2229" s="11" t="s">
        <v>1153</v>
      </c>
      <c r="C2229" s="1452">
        <v>5691</v>
      </c>
      <c r="D2229" s="1452">
        <v>6030015.0352515196</v>
      </c>
      <c r="E2229" s="1453">
        <v>64466.895700536697</v>
      </c>
      <c r="F2229" s="1454">
        <v>94.386563262721594</v>
      </c>
      <c r="G2229" s="1455">
        <v>1.05208676465644</v>
      </c>
    </row>
    <row r="2230" spans="1:7" x14ac:dyDescent="0.25">
      <c r="A2230" s="6" t="s">
        <v>984</v>
      </c>
      <c r="B2230" s="6" t="s">
        <v>1061</v>
      </c>
      <c r="C2230" s="1448">
        <v>185</v>
      </c>
      <c r="D2230" s="1448">
        <v>358622.104197231</v>
      </c>
      <c r="E2230" s="1449">
        <v>67410.279678900202</v>
      </c>
      <c r="F2230" s="1450">
        <v>5.6134367372784499</v>
      </c>
      <c r="G2230" s="1451">
        <v>1.05208676465644</v>
      </c>
    </row>
    <row r="2231" spans="1:7" x14ac:dyDescent="0.25">
      <c r="A2231" s="11" t="s">
        <v>982</v>
      </c>
      <c r="B2231" s="11"/>
      <c r="C2231" s="1452">
        <v>204</v>
      </c>
      <c r="D2231" s="1452">
        <v>429859.990420477</v>
      </c>
      <c r="E2231" s="1453">
        <v>8.2760638930812896E-2</v>
      </c>
      <c r="F2231" s="1454">
        <v>97.822652819787393</v>
      </c>
      <c r="G2231" s="1455">
        <v>2.2644336150685702</v>
      </c>
    </row>
    <row r="2232" spans="1:7" x14ac:dyDescent="0.25">
      <c r="A2232" s="6" t="s">
        <v>978</v>
      </c>
      <c r="B2232" s="6" t="s">
        <v>1047</v>
      </c>
      <c r="C2232" s="1448">
        <v>1</v>
      </c>
      <c r="D2232" s="1448">
        <v>9567.87013078159</v>
      </c>
      <c r="E2232" s="1449">
        <v>10007.574909164499</v>
      </c>
      <c r="F2232" s="1450">
        <v>2.1773471802126498</v>
      </c>
      <c r="G2232" s="1451">
        <v>2.2644336150685702</v>
      </c>
    </row>
    <row r="2233" spans="1:7" x14ac:dyDescent="0.25">
      <c r="A2233" s="11" t="s">
        <v>6293</v>
      </c>
      <c r="B2233" s="11" t="s">
        <v>6294</v>
      </c>
      <c r="C2233" s="1452">
        <v>5876</v>
      </c>
      <c r="D2233" s="1452">
        <v>6388637.1394487498</v>
      </c>
      <c r="E2233" s="1453">
        <v>10007.5752139387</v>
      </c>
      <c r="F2233" s="1454">
        <v>93.5643866812742</v>
      </c>
      <c r="G2233" s="1455">
        <v>0.14656531848974999</v>
      </c>
    </row>
    <row r="2234" spans="1:7" x14ac:dyDescent="0.25">
      <c r="A2234" s="6" t="s">
        <v>6293</v>
      </c>
      <c r="B2234" s="6" t="s">
        <v>6295</v>
      </c>
      <c r="C2234" s="1448">
        <v>6081</v>
      </c>
      <c r="D2234" s="1448">
        <v>6828065.0000000102</v>
      </c>
      <c r="E2234" s="1449">
        <v>0</v>
      </c>
      <c r="F2234" s="1450">
        <v>100</v>
      </c>
      <c r="G2234" s="1451">
        <v>0</v>
      </c>
    </row>
    <row r="2235" spans="1:7" x14ac:dyDescent="0.25">
      <c r="A2235" s="3353" t="s">
        <v>805</v>
      </c>
      <c r="B2235" s="3354"/>
      <c r="C2235" s="3354"/>
      <c r="D2235" s="3354"/>
      <c r="E2235" s="3354"/>
      <c r="F2235" s="3354"/>
      <c r="G2235" s="3354"/>
    </row>
    <row r="2236" spans="1:7" x14ac:dyDescent="0.25">
      <c r="A2236" s="11" t="s">
        <v>986</v>
      </c>
      <c r="B2236" s="11" t="s">
        <v>1153</v>
      </c>
      <c r="C2236" s="1460">
        <v>6029</v>
      </c>
      <c r="D2236" s="1460">
        <v>6660797.3673558999</v>
      </c>
      <c r="E2236" s="1461">
        <v>52090.049194201601</v>
      </c>
      <c r="F2236" s="1462">
        <v>97.550292320824198</v>
      </c>
      <c r="G2236" s="1463">
        <v>0.76288156592240997</v>
      </c>
    </row>
    <row r="2237" spans="1:7" x14ac:dyDescent="0.25">
      <c r="A2237" s="6" t="s">
        <v>984</v>
      </c>
      <c r="B2237" s="6" t="s">
        <v>1061</v>
      </c>
      <c r="C2237" s="1456">
        <v>52</v>
      </c>
      <c r="D2237" s="1456">
        <v>167267.63264411601</v>
      </c>
      <c r="E2237" s="1457">
        <v>52090.049194199797</v>
      </c>
      <c r="F2237" s="1458">
        <v>2.4497076791758099</v>
      </c>
      <c r="G2237" s="1459">
        <v>0.76288156592240597</v>
      </c>
    </row>
    <row r="2238" spans="1:7" x14ac:dyDescent="0.25">
      <c r="A2238" s="11" t="s">
        <v>6293</v>
      </c>
      <c r="B2238" s="11" t="s">
        <v>6294</v>
      </c>
      <c r="C2238" s="1460">
        <v>6081</v>
      </c>
      <c r="D2238" s="1460">
        <v>6828065.0000000196</v>
      </c>
      <c r="E2238" s="1461">
        <v>1.8825423544050199E-7</v>
      </c>
      <c r="F2238" s="1462">
        <v>100</v>
      </c>
      <c r="G2238" s="1463">
        <v>1.45362315675074E-14</v>
      </c>
    </row>
    <row r="2239" spans="1:7" x14ac:dyDescent="0.25">
      <c r="A2239" s="6" t="s">
        <v>6293</v>
      </c>
      <c r="B2239" s="6" t="s">
        <v>6295</v>
      </c>
      <c r="C2239" s="1456">
        <v>6081</v>
      </c>
      <c r="D2239" s="1456">
        <v>6828065.0000000196</v>
      </c>
      <c r="E2239" s="1457">
        <v>0</v>
      </c>
      <c r="F2239" s="1458">
        <v>100</v>
      </c>
      <c r="G2239" s="1459">
        <v>0</v>
      </c>
    </row>
    <row r="2240" spans="1:7" x14ac:dyDescent="0.25">
      <c r="A2240" s="3353" t="s">
        <v>589</v>
      </c>
      <c r="B2240" s="3354"/>
      <c r="C2240" s="3354"/>
      <c r="D2240" s="3354"/>
      <c r="E2240" s="3354"/>
      <c r="F2240" s="3354"/>
      <c r="G2240" s="3354"/>
    </row>
    <row r="2241" spans="1:7" x14ac:dyDescent="0.25">
      <c r="A2241" s="11" t="s">
        <v>1005</v>
      </c>
      <c r="B2241" s="11" t="s">
        <v>1037</v>
      </c>
      <c r="C2241" s="1468">
        <v>302</v>
      </c>
      <c r="D2241" s="1468">
        <v>222120.486900555</v>
      </c>
      <c r="E2241" s="1469">
        <v>35652.079271031202</v>
      </c>
      <c r="F2241" s="1470">
        <v>21.331233904634399</v>
      </c>
      <c r="G2241" s="1471">
        <v>3.2877317079727799</v>
      </c>
    </row>
    <row r="2242" spans="1:7" x14ac:dyDescent="0.25">
      <c r="A2242" s="6" t="s">
        <v>984</v>
      </c>
      <c r="B2242" s="6" t="s">
        <v>6028</v>
      </c>
      <c r="C2242" s="1464">
        <v>130</v>
      </c>
      <c r="D2242" s="1464">
        <v>136413.40834790099</v>
      </c>
      <c r="E2242" s="1465">
        <v>36049.175364284303</v>
      </c>
      <c r="F2242" s="1466">
        <v>13.1003959238585</v>
      </c>
      <c r="G2242" s="1467">
        <v>3.5236008913637802</v>
      </c>
    </row>
    <row r="2243" spans="1:7" x14ac:dyDescent="0.25">
      <c r="A2243" s="11" t="s">
        <v>986</v>
      </c>
      <c r="B2243" s="11" t="s">
        <v>6029</v>
      </c>
      <c r="C2243" s="1468">
        <v>112</v>
      </c>
      <c r="D2243" s="1468">
        <v>126583.943030266</v>
      </c>
      <c r="E2243" s="1469">
        <v>25157.572388587501</v>
      </c>
      <c r="F2243" s="1470">
        <v>12.1564279595625</v>
      </c>
      <c r="G2243" s="1471">
        <v>2.5157385894793198</v>
      </c>
    </row>
    <row r="2244" spans="1:7" x14ac:dyDescent="0.25">
      <c r="A2244" s="6" t="s">
        <v>1003</v>
      </c>
      <c r="B2244" s="6" t="s">
        <v>6034</v>
      </c>
      <c r="C2244" s="1464">
        <v>222</v>
      </c>
      <c r="D2244" s="1464">
        <v>114148.431837854</v>
      </c>
      <c r="E2244" s="1465">
        <v>31192.312915409999</v>
      </c>
      <c r="F2244" s="1466">
        <v>10.962189635711599</v>
      </c>
      <c r="G2244" s="1467">
        <v>3.0565086916899999</v>
      </c>
    </row>
    <row r="2245" spans="1:7" x14ac:dyDescent="0.25">
      <c r="A2245" s="11" t="s">
        <v>988</v>
      </c>
      <c r="B2245" s="11" t="s">
        <v>6030</v>
      </c>
      <c r="C2245" s="1468">
        <v>31</v>
      </c>
      <c r="D2245" s="1468">
        <v>88299.515203146002</v>
      </c>
      <c r="E2245" s="1469">
        <v>30129.802193788499</v>
      </c>
      <c r="F2245" s="1470">
        <v>8.4798013850357101</v>
      </c>
      <c r="G2245" s="1471">
        <v>2.80932865386661</v>
      </c>
    </row>
    <row r="2246" spans="1:7" x14ac:dyDescent="0.25">
      <c r="A2246" s="6" t="s">
        <v>992</v>
      </c>
      <c r="B2246" s="6" t="s">
        <v>6032</v>
      </c>
      <c r="C2246" s="1464">
        <v>45</v>
      </c>
      <c r="D2246" s="1464">
        <v>82280.359797807396</v>
      </c>
      <c r="E2246" s="1465">
        <v>25562.6433646679</v>
      </c>
      <c r="F2246" s="1466">
        <v>7.9017546967214196</v>
      </c>
      <c r="G2246" s="1467">
        <v>2.33743110817456</v>
      </c>
    </row>
    <row r="2247" spans="1:7" x14ac:dyDescent="0.25">
      <c r="A2247" s="11" t="s">
        <v>990</v>
      </c>
      <c r="B2247" s="11" t="s">
        <v>6031</v>
      </c>
      <c r="C2247" s="1468">
        <v>88</v>
      </c>
      <c r="D2247" s="1468">
        <v>75009.418324205297</v>
      </c>
      <c r="E2247" s="1469">
        <v>19315.471681362</v>
      </c>
      <c r="F2247" s="1470">
        <v>7.2034933366616798</v>
      </c>
      <c r="G2247" s="1471">
        <v>1.8785608877520801</v>
      </c>
    </row>
    <row r="2248" spans="1:7" x14ac:dyDescent="0.25">
      <c r="A2248" s="6" t="s">
        <v>1013</v>
      </c>
      <c r="B2248" s="6" t="s">
        <v>6035</v>
      </c>
      <c r="C2248" s="1464">
        <v>69</v>
      </c>
      <c r="D2248" s="1464">
        <v>73077.332948552707</v>
      </c>
      <c r="E2248" s="1465">
        <v>25901.435439183999</v>
      </c>
      <c r="F2248" s="1466">
        <v>7.0179464488132801</v>
      </c>
      <c r="G2248" s="1467">
        <v>2.4695176671578798</v>
      </c>
    </row>
    <row r="2249" spans="1:7" x14ac:dyDescent="0.25">
      <c r="A2249" s="11" t="s">
        <v>994</v>
      </c>
      <c r="B2249" s="11" t="s">
        <v>6033</v>
      </c>
      <c r="C2249" s="1468">
        <v>62</v>
      </c>
      <c r="D2249" s="1468">
        <v>61189.030355626899</v>
      </c>
      <c r="E2249" s="1469">
        <v>18901.165116840999</v>
      </c>
      <c r="F2249" s="1470">
        <v>5.8762590390773699</v>
      </c>
      <c r="G2249" s="1471">
        <v>1.79704512778215</v>
      </c>
    </row>
    <row r="2250" spans="1:7" x14ac:dyDescent="0.25">
      <c r="A2250" s="6" t="s">
        <v>1015</v>
      </c>
      <c r="B2250" s="6" t="s">
        <v>6036</v>
      </c>
      <c r="C2250" s="1464">
        <v>31</v>
      </c>
      <c r="D2250" s="1464">
        <v>32618.952557125001</v>
      </c>
      <c r="E2250" s="1465">
        <v>14138.1541351655</v>
      </c>
      <c r="F2250" s="1466">
        <v>3.1325453875478102</v>
      </c>
      <c r="G2250" s="1467">
        <v>1.33009999004181</v>
      </c>
    </row>
    <row r="2251" spans="1:7" x14ac:dyDescent="0.25">
      <c r="A2251" s="11" t="s">
        <v>1017</v>
      </c>
      <c r="B2251" s="11" t="s">
        <v>6037</v>
      </c>
      <c r="C2251" s="1468">
        <v>20</v>
      </c>
      <c r="D2251" s="1468">
        <v>29551.377364292301</v>
      </c>
      <c r="E2251" s="1469">
        <v>11467.159541168699</v>
      </c>
      <c r="F2251" s="1470">
        <v>2.8379522823757402</v>
      </c>
      <c r="G2251" s="1471">
        <v>1.03892745644794</v>
      </c>
    </row>
    <row r="2252" spans="1:7" x14ac:dyDescent="0.25">
      <c r="A2252" s="6" t="s">
        <v>982</v>
      </c>
      <c r="B2252" s="6" t="s">
        <v>983</v>
      </c>
      <c r="C2252" s="1464">
        <v>4963</v>
      </c>
      <c r="D2252" s="1464">
        <v>5775955.2286123196</v>
      </c>
      <c r="E2252" s="1465">
        <v>59090.126949813697</v>
      </c>
      <c r="F2252" s="1466">
        <v>99.813064808310997</v>
      </c>
      <c r="G2252" s="1467">
        <v>0.14355778614238299</v>
      </c>
    </row>
    <row r="2253" spans="1:7" x14ac:dyDescent="0.25">
      <c r="A2253" s="11" t="s">
        <v>980</v>
      </c>
      <c r="B2253" s="11" t="s">
        <v>981</v>
      </c>
      <c r="C2253" s="1468">
        <v>3</v>
      </c>
      <c r="D2253" s="1468">
        <v>10261.095902539701</v>
      </c>
      <c r="E2253" s="1469">
        <v>8436.9505099120306</v>
      </c>
      <c r="F2253" s="1470">
        <v>0.17731983538427601</v>
      </c>
      <c r="G2253" s="1471">
        <v>0.14590381768548699</v>
      </c>
    </row>
    <row r="2254" spans="1:7" x14ac:dyDescent="0.25">
      <c r="A2254" s="6" t="s">
        <v>978</v>
      </c>
      <c r="B2254" s="6" t="s">
        <v>979</v>
      </c>
      <c r="C2254" s="1464">
        <v>3</v>
      </c>
      <c r="D2254" s="1464">
        <v>556.41881781557004</v>
      </c>
      <c r="E2254" s="1465">
        <v>493.53728933869201</v>
      </c>
      <c r="F2254" s="1466">
        <v>9.6153563047150503E-3</v>
      </c>
      <c r="G2254" s="1467">
        <v>8.5258515501131608E-3</v>
      </c>
    </row>
    <row r="2255" spans="1:7" x14ac:dyDescent="0.25">
      <c r="A2255" s="11" t="s">
        <v>6293</v>
      </c>
      <c r="B2255" s="11" t="s">
        <v>6294</v>
      </c>
      <c r="C2255" s="1468">
        <v>1112</v>
      </c>
      <c r="D2255" s="1468">
        <v>1041292.25666733</v>
      </c>
      <c r="E2255" s="1469">
        <v>57273.645446449897</v>
      </c>
      <c r="F2255" s="1470">
        <v>15.250180785732599</v>
      </c>
      <c r="G2255" s="1471">
        <v>0.83879760146469695</v>
      </c>
    </row>
    <row r="2256" spans="1:7" x14ac:dyDescent="0.25">
      <c r="A2256" s="6" t="s">
        <v>6293</v>
      </c>
      <c r="B2256" s="6" t="s">
        <v>6295</v>
      </c>
      <c r="C2256" s="1464">
        <v>6081</v>
      </c>
      <c r="D2256" s="1464">
        <v>6828065</v>
      </c>
      <c r="E2256" s="1465">
        <v>0</v>
      </c>
      <c r="F2256" s="1466">
        <v>100</v>
      </c>
      <c r="G2256" s="1467">
        <v>0</v>
      </c>
    </row>
    <row r="2257" spans="1:7" x14ac:dyDescent="0.25">
      <c r="A2257" s="3353" t="s">
        <v>592</v>
      </c>
      <c r="B2257" s="3354"/>
      <c r="C2257" s="3354"/>
      <c r="D2257" s="3354"/>
      <c r="E2257" s="3354"/>
      <c r="F2257" s="3354"/>
      <c r="G2257" s="3354"/>
    </row>
    <row r="2258" spans="1:7" x14ac:dyDescent="0.25">
      <c r="A2258" s="11" t="s">
        <v>6547</v>
      </c>
      <c r="B2258" s="11"/>
      <c r="C2258" s="1476">
        <v>259</v>
      </c>
      <c r="D2258" s="1476">
        <v>174266.860510144</v>
      </c>
      <c r="E2258" s="1477">
        <v>30522.079138716599</v>
      </c>
      <c r="F2258" s="1478">
        <v>78.456005090680705</v>
      </c>
      <c r="G2258" s="1479">
        <v>5.4669801646802103</v>
      </c>
    </row>
    <row r="2259" spans="1:7" x14ac:dyDescent="0.25">
      <c r="A2259" s="6" t="s">
        <v>6548</v>
      </c>
      <c r="B2259" s="6"/>
      <c r="C2259" s="1472">
        <v>7</v>
      </c>
      <c r="D2259" s="1472">
        <v>19910.080297160301</v>
      </c>
      <c r="E2259" s="1473">
        <v>11953.221050632101</v>
      </c>
      <c r="F2259" s="1474">
        <v>8.9636397682102196</v>
      </c>
      <c r="G2259" s="1475">
        <v>4.94050910480588</v>
      </c>
    </row>
    <row r="2260" spans="1:7" x14ac:dyDescent="0.25">
      <c r="A2260" s="11" t="s">
        <v>6549</v>
      </c>
      <c r="B2260" s="11"/>
      <c r="C2260" s="1476">
        <v>4</v>
      </c>
      <c r="D2260" s="1476">
        <v>8924.5050072136892</v>
      </c>
      <c r="E2260" s="1477">
        <v>6312.7304465244097</v>
      </c>
      <c r="F2260" s="1478">
        <v>4.0178666685569002</v>
      </c>
      <c r="G2260" s="1479">
        <v>3.02942883676491</v>
      </c>
    </row>
    <row r="2261" spans="1:7" x14ac:dyDescent="0.25">
      <c r="A2261" s="6" t="s">
        <v>6550</v>
      </c>
      <c r="B2261" s="6"/>
      <c r="C2261" s="1472">
        <v>13</v>
      </c>
      <c r="D2261" s="1472">
        <v>7449.7218039425097</v>
      </c>
      <c r="E2261" s="1473">
        <v>4383.7460128869598</v>
      </c>
      <c r="F2261" s="1474">
        <v>3.35391026190115</v>
      </c>
      <c r="G2261" s="1475">
        <v>1.9676118926767401</v>
      </c>
    </row>
    <row r="2262" spans="1:7" x14ac:dyDescent="0.25">
      <c r="A2262" s="11" t="s">
        <v>6551</v>
      </c>
      <c r="B2262" s="11"/>
      <c r="C2262" s="1476">
        <v>6</v>
      </c>
      <c r="D2262" s="1476">
        <v>4716.5228890091003</v>
      </c>
      <c r="E2262" s="1477">
        <v>2404.0193500268501</v>
      </c>
      <c r="F2262" s="1478">
        <v>2.1234074149678599</v>
      </c>
      <c r="G2262" s="1479">
        <v>1.1582405393622901</v>
      </c>
    </row>
    <row r="2263" spans="1:7" x14ac:dyDescent="0.25">
      <c r="A2263" s="6" t="s">
        <v>6552</v>
      </c>
      <c r="B2263" s="6"/>
      <c r="C2263" s="1472">
        <v>3</v>
      </c>
      <c r="D2263" s="1472">
        <v>3766.9874668963398</v>
      </c>
      <c r="E2263" s="1473">
        <v>2883.9104947679002</v>
      </c>
      <c r="F2263" s="1474">
        <v>1.69592076780511</v>
      </c>
      <c r="G2263" s="1475">
        <v>1.33613287771159</v>
      </c>
    </row>
    <row r="2264" spans="1:7" x14ac:dyDescent="0.25">
      <c r="A2264" s="11" t="s">
        <v>6553</v>
      </c>
      <c r="B2264" s="11"/>
      <c r="C2264" s="1476">
        <v>7</v>
      </c>
      <c r="D2264" s="1476">
        <v>2001.8594622672799</v>
      </c>
      <c r="E2264" s="1477">
        <v>1666.4962932559799</v>
      </c>
      <c r="F2264" s="1478">
        <v>0.90124935804031703</v>
      </c>
      <c r="G2264" s="1479">
        <v>0.77600897512992095</v>
      </c>
    </row>
    <row r="2265" spans="1:7" x14ac:dyDescent="0.25">
      <c r="A2265" s="6" t="s">
        <v>6554</v>
      </c>
      <c r="B2265" s="6"/>
      <c r="C2265" s="1472">
        <v>2</v>
      </c>
      <c r="D2265" s="1472">
        <v>1001.72104561007</v>
      </c>
      <c r="E2265" s="1473">
        <v>1116.87741997734</v>
      </c>
      <c r="F2265" s="1474">
        <v>0.45098093363109998</v>
      </c>
      <c r="G2265" s="1475">
        <v>0.496513801041504</v>
      </c>
    </row>
    <row r="2266" spans="1:7" x14ac:dyDescent="0.25">
      <c r="A2266" s="11" t="s">
        <v>6555</v>
      </c>
      <c r="B2266" s="11"/>
      <c r="C2266" s="1476">
        <v>1</v>
      </c>
      <c r="D2266" s="1476">
        <v>82.228418311581706</v>
      </c>
      <c r="E2266" s="1477">
        <v>85.214966698958307</v>
      </c>
      <c r="F2266" s="1478">
        <v>3.7019736206681399E-2</v>
      </c>
      <c r="G2266" s="1479">
        <v>3.8422066629214997E-2</v>
      </c>
    </row>
    <row r="2267" spans="1:7" x14ac:dyDescent="0.25">
      <c r="A2267" s="6" t="s">
        <v>982</v>
      </c>
      <c r="B2267" s="6" t="s">
        <v>983</v>
      </c>
      <c r="C2267" s="1472">
        <v>5779</v>
      </c>
      <c r="D2267" s="1472">
        <v>6605944.5130994599</v>
      </c>
      <c r="E2267" s="1473">
        <v>35652.079271030903</v>
      </c>
      <c r="F2267" s="1474">
        <v>100</v>
      </c>
      <c r="G2267" s="1475">
        <v>0</v>
      </c>
    </row>
    <row r="2268" spans="1:7" x14ac:dyDescent="0.25">
      <c r="A2268" s="11" t="s">
        <v>6293</v>
      </c>
      <c r="B2268" s="11" t="s">
        <v>6294</v>
      </c>
      <c r="C2268" s="1476">
        <v>302</v>
      </c>
      <c r="D2268" s="1476">
        <v>222120.486900555</v>
      </c>
      <c r="E2268" s="1477">
        <v>35652.079271031202</v>
      </c>
      <c r="F2268" s="1478">
        <v>3.25305173428423</v>
      </c>
      <c r="G2268" s="1479">
        <v>0.52214030286810698</v>
      </c>
    </row>
    <row r="2269" spans="1:7" x14ac:dyDescent="0.25">
      <c r="A2269" s="6" t="s">
        <v>6293</v>
      </c>
      <c r="B2269" s="6" t="s">
        <v>6295</v>
      </c>
      <c r="C2269" s="1472">
        <v>6081</v>
      </c>
      <c r="D2269" s="1472">
        <v>6828065.0000000102</v>
      </c>
      <c r="E2269" s="1473">
        <v>0</v>
      </c>
      <c r="F2269" s="1474">
        <v>100</v>
      </c>
      <c r="G2269" s="1475">
        <v>0</v>
      </c>
    </row>
    <row r="2270" spans="1:7" x14ac:dyDescent="0.25">
      <c r="A2270" s="3353" t="s">
        <v>535</v>
      </c>
      <c r="B2270" s="3354"/>
      <c r="C2270" s="3354"/>
      <c r="D2270" s="3354"/>
      <c r="E2270" s="3354"/>
      <c r="F2270" s="3354"/>
      <c r="G2270" s="3354"/>
    </row>
    <row r="2271" spans="1:7" x14ac:dyDescent="0.25">
      <c r="A2271" s="11" t="s">
        <v>984</v>
      </c>
      <c r="B2271" s="11" t="s">
        <v>3011</v>
      </c>
      <c r="C2271" s="1484">
        <v>5404</v>
      </c>
      <c r="D2271" s="1484">
        <v>5481896.3806582196</v>
      </c>
      <c r="E2271" s="1485">
        <v>165104.41057621699</v>
      </c>
      <c r="F2271" s="1486">
        <v>100</v>
      </c>
      <c r="G2271" s="1487">
        <v>0</v>
      </c>
    </row>
    <row r="2272" spans="1:7" x14ac:dyDescent="0.25">
      <c r="A2272" s="6" t="s">
        <v>982</v>
      </c>
      <c r="B2272" s="6" t="s">
        <v>983</v>
      </c>
      <c r="C2272" s="1480">
        <v>677</v>
      </c>
      <c r="D2272" s="1480">
        <v>1346168.61934179</v>
      </c>
      <c r="E2272" s="1481">
        <v>165104.41057623399</v>
      </c>
      <c r="F2272" s="1482">
        <v>100</v>
      </c>
      <c r="G2272" s="1483">
        <v>0</v>
      </c>
    </row>
    <row r="2273" spans="1:7" x14ac:dyDescent="0.25">
      <c r="A2273" s="11" t="s">
        <v>6293</v>
      </c>
      <c r="B2273" s="11" t="s">
        <v>6294</v>
      </c>
      <c r="C2273" s="1484">
        <v>5404</v>
      </c>
      <c r="D2273" s="1484">
        <v>5481896.3806582196</v>
      </c>
      <c r="E2273" s="1485">
        <v>165104.41057621699</v>
      </c>
      <c r="F2273" s="1486">
        <v>80.2847714639244</v>
      </c>
      <c r="G2273" s="1487">
        <v>2.4180263453296198</v>
      </c>
    </row>
    <row r="2274" spans="1:7" x14ac:dyDescent="0.25">
      <c r="A2274" s="6" t="s">
        <v>6293</v>
      </c>
      <c r="B2274" s="6" t="s">
        <v>6295</v>
      </c>
      <c r="C2274" s="1480">
        <v>6081</v>
      </c>
      <c r="D2274" s="1480">
        <v>6828065.0000000102</v>
      </c>
      <c r="E2274" s="1481">
        <v>0</v>
      </c>
      <c r="F2274" s="1482">
        <v>100</v>
      </c>
      <c r="G2274" s="1483">
        <v>0</v>
      </c>
    </row>
    <row r="2275" spans="1:7" x14ac:dyDescent="0.25">
      <c r="A2275" s="3353" t="s">
        <v>538</v>
      </c>
      <c r="B2275" s="3354"/>
      <c r="C2275" s="3354"/>
      <c r="D2275" s="3354"/>
      <c r="E2275" s="3354"/>
      <c r="F2275" s="3354"/>
      <c r="G2275" s="3354"/>
    </row>
    <row r="2276" spans="1:7" x14ac:dyDescent="0.25">
      <c r="A2276" s="11" t="s">
        <v>986</v>
      </c>
      <c r="B2276" s="11" t="s">
        <v>3012</v>
      </c>
      <c r="C2276" s="1492">
        <v>148</v>
      </c>
      <c r="D2276" s="1492">
        <v>376354.91212102101</v>
      </c>
      <c r="E2276" s="1493">
        <v>24129.8107102629</v>
      </c>
      <c r="F2276" s="1494">
        <v>100</v>
      </c>
      <c r="G2276" s="1495">
        <v>0</v>
      </c>
    </row>
    <row r="2277" spans="1:7" x14ac:dyDescent="0.25">
      <c r="A2277" s="6" t="s">
        <v>982</v>
      </c>
      <c r="B2277" s="6" t="s">
        <v>983</v>
      </c>
      <c r="C2277" s="1488">
        <v>5933</v>
      </c>
      <c r="D2277" s="1488">
        <v>6451710.08787899</v>
      </c>
      <c r="E2277" s="1489">
        <v>24129.8107102621</v>
      </c>
      <c r="F2277" s="1490">
        <v>100</v>
      </c>
      <c r="G2277" s="1491">
        <v>0</v>
      </c>
    </row>
    <row r="2278" spans="1:7" x14ac:dyDescent="0.25">
      <c r="A2278" s="11" t="s">
        <v>6293</v>
      </c>
      <c r="B2278" s="11" t="s">
        <v>6294</v>
      </c>
      <c r="C2278" s="1492">
        <v>148</v>
      </c>
      <c r="D2278" s="1492">
        <v>376354.91212102101</v>
      </c>
      <c r="E2278" s="1493">
        <v>24129.8107102629</v>
      </c>
      <c r="F2278" s="1494">
        <v>5.5118823871919904</v>
      </c>
      <c r="G2278" s="1495">
        <v>0.35339163745897001</v>
      </c>
    </row>
    <row r="2279" spans="1:7" x14ac:dyDescent="0.25">
      <c r="A2279" s="6" t="s">
        <v>6293</v>
      </c>
      <c r="B2279" s="6" t="s">
        <v>6295</v>
      </c>
      <c r="C2279" s="1488">
        <v>6081</v>
      </c>
      <c r="D2279" s="1488">
        <v>6828065.0000000102</v>
      </c>
      <c r="E2279" s="1489">
        <v>0</v>
      </c>
      <c r="F2279" s="1490">
        <v>100</v>
      </c>
      <c r="G2279" s="1491">
        <v>0</v>
      </c>
    </row>
    <row r="2280" spans="1:7" x14ac:dyDescent="0.25">
      <c r="A2280" s="3353" t="s">
        <v>540</v>
      </c>
      <c r="B2280" s="3354"/>
      <c r="C2280" s="3354"/>
      <c r="D2280" s="3354"/>
      <c r="E2280" s="3354"/>
      <c r="F2280" s="3354"/>
      <c r="G2280" s="3354"/>
    </row>
    <row r="2281" spans="1:7" x14ac:dyDescent="0.25">
      <c r="A2281" s="11" t="s">
        <v>988</v>
      </c>
      <c r="B2281" s="11" t="s">
        <v>3013</v>
      </c>
      <c r="C2281" s="1500">
        <v>170</v>
      </c>
      <c r="D2281" s="1500">
        <v>395072.97422347398</v>
      </c>
      <c r="E2281" s="1501">
        <v>77793.338178993203</v>
      </c>
      <c r="F2281" s="1502">
        <v>100</v>
      </c>
      <c r="G2281" s="1503">
        <v>0</v>
      </c>
    </row>
    <row r="2282" spans="1:7" x14ac:dyDescent="0.25">
      <c r="A2282" s="6" t="s">
        <v>982</v>
      </c>
      <c r="B2282" s="6" t="s">
        <v>983</v>
      </c>
      <c r="C2282" s="1496">
        <v>5911</v>
      </c>
      <c r="D2282" s="1496">
        <v>6432992.0257765399</v>
      </c>
      <c r="E2282" s="1497">
        <v>77793.338178979306</v>
      </c>
      <c r="F2282" s="1498">
        <v>100</v>
      </c>
      <c r="G2282" s="1499">
        <v>0</v>
      </c>
    </row>
    <row r="2283" spans="1:7" x14ac:dyDescent="0.25">
      <c r="A2283" s="11" t="s">
        <v>6293</v>
      </c>
      <c r="B2283" s="11" t="s">
        <v>6294</v>
      </c>
      <c r="C2283" s="1500">
        <v>170</v>
      </c>
      <c r="D2283" s="1500">
        <v>395072.97422347398</v>
      </c>
      <c r="E2283" s="1501">
        <v>77793.338178993203</v>
      </c>
      <c r="F2283" s="1502">
        <v>5.7860165980182199</v>
      </c>
      <c r="G2283" s="1503">
        <v>1.13931748129217</v>
      </c>
    </row>
    <row r="2284" spans="1:7" x14ac:dyDescent="0.25">
      <c r="A2284" s="6" t="s">
        <v>6293</v>
      </c>
      <c r="B2284" s="6" t="s">
        <v>6295</v>
      </c>
      <c r="C2284" s="1496">
        <v>6081</v>
      </c>
      <c r="D2284" s="1496">
        <v>6828065.0000000102</v>
      </c>
      <c r="E2284" s="1497">
        <v>0</v>
      </c>
      <c r="F2284" s="1498">
        <v>100</v>
      </c>
      <c r="G2284" s="1499">
        <v>0</v>
      </c>
    </row>
    <row r="2285" spans="1:7" x14ac:dyDescent="0.25">
      <c r="A2285" s="3353" t="s">
        <v>542</v>
      </c>
      <c r="B2285" s="3354"/>
      <c r="C2285" s="3354"/>
      <c r="D2285" s="3354"/>
      <c r="E2285" s="3354"/>
      <c r="F2285" s="3354"/>
      <c r="G2285" s="3354"/>
    </row>
    <row r="2286" spans="1:7" x14ac:dyDescent="0.25">
      <c r="A2286" s="11" t="s">
        <v>990</v>
      </c>
      <c r="B2286" s="11" t="s">
        <v>6010</v>
      </c>
      <c r="C2286" s="1508">
        <v>252</v>
      </c>
      <c r="D2286" s="1508">
        <v>264915.01556539902</v>
      </c>
      <c r="E2286" s="1509">
        <v>40153.756092581301</v>
      </c>
      <c r="F2286" s="1510">
        <v>100</v>
      </c>
      <c r="G2286" s="1511">
        <v>0</v>
      </c>
    </row>
    <row r="2287" spans="1:7" x14ac:dyDescent="0.25">
      <c r="A2287" s="6" t="s">
        <v>982</v>
      </c>
      <c r="B2287" s="6" t="s">
        <v>983</v>
      </c>
      <c r="C2287" s="1504">
        <v>5829</v>
      </c>
      <c r="D2287" s="1504">
        <v>6563149.9844346195</v>
      </c>
      <c r="E2287" s="1505">
        <v>40153.756092581498</v>
      </c>
      <c r="F2287" s="1506">
        <v>100</v>
      </c>
      <c r="G2287" s="1507">
        <v>0</v>
      </c>
    </row>
    <row r="2288" spans="1:7" x14ac:dyDescent="0.25">
      <c r="A2288" s="11" t="s">
        <v>6293</v>
      </c>
      <c r="B2288" s="11" t="s">
        <v>6294</v>
      </c>
      <c r="C2288" s="1508">
        <v>252</v>
      </c>
      <c r="D2288" s="1508">
        <v>264915.01556539902</v>
      </c>
      <c r="E2288" s="1509">
        <v>40153.756092581301</v>
      </c>
      <c r="F2288" s="1510">
        <v>3.8797963341795798</v>
      </c>
      <c r="G2288" s="1511">
        <v>0.58806932992848404</v>
      </c>
    </row>
    <row r="2289" spans="1:7" x14ac:dyDescent="0.25">
      <c r="A2289" s="6" t="s">
        <v>6293</v>
      </c>
      <c r="B2289" s="6" t="s">
        <v>6295</v>
      </c>
      <c r="C2289" s="1504">
        <v>6081</v>
      </c>
      <c r="D2289" s="1504">
        <v>6828065.0000000196</v>
      </c>
      <c r="E2289" s="1505">
        <v>0</v>
      </c>
      <c r="F2289" s="1506">
        <v>100</v>
      </c>
      <c r="G2289" s="1507">
        <v>0</v>
      </c>
    </row>
    <row r="2290" spans="1:7" x14ac:dyDescent="0.25">
      <c r="A2290" s="3353" t="s">
        <v>544</v>
      </c>
      <c r="B2290" s="3354"/>
      <c r="C2290" s="3354"/>
      <c r="D2290" s="3354"/>
      <c r="E2290" s="3354"/>
      <c r="F2290" s="3354"/>
      <c r="G2290" s="3354"/>
    </row>
    <row r="2291" spans="1:7" x14ac:dyDescent="0.25">
      <c r="A2291" s="11" t="s">
        <v>992</v>
      </c>
      <c r="B2291" s="11" t="s">
        <v>6011</v>
      </c>
      <c r="C2291" s="1516">
        <v>42</v>
      </c>
      <c r="D2291" s="1516">
        <v>76695.7013632163</v>
      </c>
      <c r="E2291" s="1517">
        <v>31322.490684212102</v>
      </c>
      <c r="F2291" s="1518">
        <v>100</v>
      </c>
      <c r="G2291" s="1519">
        <v>0</v>
      </c>
    </row>
    <row r="2292" spans="1:7" x14ac:dyDescent="0.25">
      <c r="A2292" s="6" t="s">
        <v>982</v>
      </c>
      <c r="B2292" s="6" t="s">
        <v>983</v>
      </c>
      <c r="C2292" s="1512">
        <v>6039</v>
      </c>
      <c r="D2292" s="1512">
        <v>6751369.2986367997</v>
      </c>
      <c r="E2292" s="1513">
        <v>31322.490684213499</v>
      </c>
      <c r="F2292" s="1514">
        <v>100</v>
      </c>
      <c r="G2292" s="1515">
        <v>0</v>
      </c>
    </row>
    <row r="2293" spans="1:7" x14ac:dyDescent="0.25">
      <c r="A2293" s="11" t="s">
        <v>6293</v>
      </c>
      <c r="B2293" s="11" t="s">
        <v>6294</v>
      </c>
      <c r="C2293" s="1516">
        <v>42</v>
      </c>
      <c r="D2293" s="1516">
        <v>76695.7013632163</v>
      </c>
      <c r="E2293" s="1517">
        <v>31322.490684212102</v>
      </c>
      <c r="F2293" s="1518">
        <v>1.1232421097809699</v>
      </c>
      <c r="G2293" s="1519">
        <v>0.45873158331404401</v>
      </c>
    </row>
    <row r="2294" spans="1:7" x14ac:dyDescent="0.25">
      <c r="A2294" s="6" t="s">
        <v>6293</v>
      </c>
      <c r="B2294" s="6" t="s">
        <v>6295</v>
      </c>
      <c r="C2294" s="1512">
        <v>6081</v>
      </c>
      <c r="D2294" s="1512">
        <v>6828065.0000000196</v>
      </c>
      <c r="E2294" s="1513">
        <v>0</v>
      </c>
      <c r="F2294" s="1514">
        <v>100</v>
      </c>
      <c r="G2294" s="1515">
        <v>0</v>
      </c>
    </row>
    <row r="2295" spans="1:7" x14ac:dyDescent="0.25">
      <c r="A2295" s="3353" t="s">
        <v>546</v>
      </c>
      <c r="B2295" s="3354"/>
      <c r="C2295" s="3354"/>
      <c r="D2295" s="3354"/>
      <c r="E2295" s="3354"/>
      <c r="F2295" s="3354"/>
      <c r="G2295" s="3354"/>
    </row>
    <row r="2296" spans="1:7" x14ac:dyDescent="0.25">
      <c r="A2296" s="11" t="s">
        <v>982</v>
      </c>
      <c r="B2296" s="11" t="s">
        <v>983</v>
      </c>
      <c r="C2296" s="1524">
        <v>6072</v>
      </c>
      <c r="D2296" s="1524">
        <v>6777893.8243172299</v>
      </c>
      <c r="E2296" s="1525">
        <v>46360.336167071997</v>
      </c>
      <c r="F2296" s="1526">
        <v>99.265221176383207</v>
      </c>
      <c r="G2296" s="1527">
        <v>0.67896741122236004</v>
      </c>
    </row>
    <row r="2297" spans="1:7" x14ac:dyDescent="0.25">
      <c r="A2297" s="6" t="s">
        <v>978</v>
      </c>
      <c r="B2297" s="6" t="s">
        <v>979</v>
      </c>
      <c r="C2297" s="1520">
        <v>9</v>
      </c>
      <c r="D2297" s="1520">
        <v>50171.175682789297</v>
      </c>
      <c r="E2297" s="1521">
        <v>46360.3361670796</v>
      </c>
      <c r="F2297" s="1522">
        <v>0.73477882361678104</v>
      </c>
      <c r="G2297" s="1523">
        <v>0.67896741122235305</v>
      </c>
    </row>
    <row r="2298" spans="1:7" x14ac:dyDescent="0.25">
      <c r="A2298" s="11" t="s">
        <v>6293</v>
      </c>
      <c r="B2298" s="11" t="s">
        <v>6294</v>
      </c>
      <c r="C2298" s="1524">
        <v>0</v>
      </c>
      <c r="D2298" s="1524">
        <v>0</v>
      </c>
      <c r="E2298" s="1525">
        <v>0</v>
      </c>
      <c r="F2298" s="1526">
        <v>0</v>
      </c>
      <c r="G2298" s="1527">
        <v>0</v>
      </c>
    </row>
    <row r="2299" spans="1:7" x14ac:dyDescent="0.25">
      <c r="A2299" s="6" t="s">
        <v>6293</v>
      </c>
      <c r="B2299" s="6" t="s">
        <v>6295</v>
      </c>
      <c r="C2299" s="1520">
        <v>6081</v>
      </c>
      <c r="D2299" s="1520">
        <v>6828065.0000000102</v>
      </c>
      <c r="E2299" s="1521">
        <v>0</v>
      </c>
      <c r="F2299" s="1522">
        <v>100</v>
      </c>
      <c r="G2299" s="1523">
        <v>0</v>
      </c>
    </row>
    <row r="2300" spans="1:7" x14ac:dyDescent="0.25">
      <c r="A2300" s="3353" t="s">
        <v>551</v>
      </c>
      <c r="B2300" s="3354"/>
      <c r="C2300" s="3354"/>
      <c r="D2300" s="3354"/>
      <c r="E2300" s="3354"/>
      <c r="F2300" s="3354"/>
      <c r="G2300" s="3354"/>
    </row>
    <row r="2301" spans="1:7" x14ac:dyDescent="0.25">
      <c r="A2301" s="11" t="s">
        <v>982</v>
      </c>
      <c r="B2301" s="11" t="s">
        <v>983</v>
      </c>
      <c r="C2301" s="1532">
        <v>6033</v>
      </c>
      <c r="D2301" s="1532">
        <v>6797178.8613266004</v>
      </c>
      <c r="E2301" s="1533">
        <v>15913.3738008133</v>
      </c>
      <c r="F2301" s="1534">
        <v>99.547658982838897</v>
      </c>
      <c r="G2301" s="1535">
        <v>0.233058323270221</v>
      </c>
    </row>
    <row r="2302" spans="1:7" x14ac:dyDescent="0.25">
      <c r="A2302" s="6" t="s">
        <v>980</v>
      </c>
      <c r="B2302" s="6" t="s">
        <v>981</v>
      </c>
      <c r="C2302" s="1528">
        <v>48</v>
      </c>
      <c r="D2302" s="1528">
        <v>30886.138673419999</v>
      </c>
      <c r="E2302" s="1529">
        <v>15913.3738008005</v>
      </c>
      <c r="F2302" s="1530">
        <v>0.45234101716108299</v>
      </c>
      <c r="G2302" s="1531">
        <v>0.233058323270217</v>
      </c>
    </row>
    <row r="2303" spans="1:7" x14ac:dyDescent="0.25">
      <c r="A2303" s="11" t="s">
        <v>6293</v>
      </c>
      <c r="B2303" s="11" t="s">
        <v>6294</v>
      </c>
      <c r="C2303" s="1532">
        <v>0</v>
      </c>
      <c r="D2303" s="1532">
        <v>0</v>
      </c>
      <c r="E2303" s="1533">
        <v>0</v>
      </c>
      <c r="F2303" s="1534">
        <v>0</v>
      </c>
      <c r="G2303" s="1535">
        <v>0</v>
      </c>
    </row>
    <row r="2304" spans="1:7" x14ac:dyDescent="0.25">
      <c r="A2304" s="6" t="s">
        <v>6293</v>
      </c>
      <c r="B2304" s="6" t="s">
        <v>6295</v>
      </c>
      <c r="C2304" s="1528">
        <v>6081</v>
      </c>
      <c r="D2304" s="1528">
        <v>6828065.0000000196</v>
      </c>
      <c r="E2304" s="1529">
        <v>0</v>
      </c>
      <c r="F2304" s="1530">
        <v>100</v>
      </c>
      <c r="G2304" s="1531">
        <v>0</v>
      </c>
    </row>
    <row r="2305" spans="1:7" x14ac:dyDescent="0.25">
      <c r="A2305" s="3353" t="s">
        <v>553</v>
      </c>
      <c r="B2305" s="3354"/>
      <c r="C2305" s="3354"/>
      <c r="D2305" s="3354"/>
      <c r="E2305" s="3354"/>
      <c r="F2305" s="3354"/>
      <c r="G2305" s="3354"/>
    </row>
    <row r="2306" spans="1:7" x14ac:dyDescent="0.25">
      <c r="A2306" s="11" t="s">
        <v>1005</v>
      </c>
      <c r="B2306" s="11" t="s">
        <v>3017</v>
      </c>
      <c r="C2306" s="1540">
        <v>232</v>
      </c>
      <c r="D2306" s="1540">
        <v>468789.29437019001</v>
      </c>
      <c r="E2306" s="1541">
        <v>96807.119813002806</v>
      </c>
      <c r="F2306" s="1542">
        <v>100</v>
      </c>
      <c r="G2306" s="1543">
        <v>0</v>
      </c>
    </row>
    <row r="2307" spans="1:7" x14ac:dyDescent="0.25">
      <c r="A2307" s="6" t="s">
        <v>982</v>
      </c>
      <c r="B2307" s="6" t="s">
        <v>983</v>
      </c>
      <c r="C2307" s="1536">
        <v>5849</v>
      </c>
      <c r="D2307" s="1536">
        <v>6359275.70562982</v>
      </c>
      <c r="E2307" s="1537">
        <v>96807.119813010795</v>
      </c>
      <c r="F2307" s="1538">
        <v>100</v>
      </c>
      <c r="G2307" s="1539">
        <v>0</v>
      </c>
    </row>
    <row r="2308" spans="1:7" x14ac:dyDescent="0.25">
      <c r="A2308" s="11" t="s">
        <v>6293</v>
      </c>
      <c r="B2308" s="11" t="s">
        <v>6294</v>
      </c>
      <c r="C2308" s="1540">
        <v>232</v>
      </c>
      <c r="D2308" s="1540">
        <v>468789.29437019001</v>
      </c>
      <c r="E2308" s="1541">
        <v>96807.119813002806</v>
      </c>
      <c r="F2308" s="1542">
        <v>6.8656243660566902</v>
      </c>
      <c r="G2308" s="1543">
        <v>1.41778263406987</v>
      </c>
    </row>
    <row r="2309" spans="1:7" x14ac:dyDescent="0.25">
      <c r="A2309" s="6" t="s">
        <v>6293</v>
      </c>
      <c r="B2309" s="6" t="s">
        <v>6295</v>
      </c>
      <c r="C2309" s="1536">
        <v>6081</v>
      </c>
      <c r="D2309" s="1536">
        <v>6828065.0000000102</v>
      </c>
      <c r="E2309" s="1537">
        <v>0</v>
      </c>
      <c r="F2309" s="1538">
        <v>100</v>
      </c>
      <c r="G2309" s="1539">
        <v>0</v>
      </c>
    </row>
    <row r="2310" spans="1:7" x14ac:dyDescent="0.25">
      <c r="A2310" s="3353" t="s">
        <v>548</v>
      </c>
      <c r="B2310" s="3354"/>
      <c r="C2310" s="3354"/>
      <c r="D2310" s="3354"/>
      <c r="E2310" s="3354"/>
      <c r="F2310" s="3354"/>
      <c r="G2310" s="3354"/>
    </row>
    <row r="2311" spans="1:7" x14ac:dyDescent="0.25">
      <c r="A2311" s="11" t="s">
        <v>6556</v>
      </c>
      <c r="B2311" s="11"/>
      <c r="C2311" s="1548">
        <v>74</v>
      </c>
      <c r="D2311" s="1548">
        <v>171315.53650490299</v>
      </c>
      <c r="E2311" s="1549">
        <v>43398.728292011197</v>
      </c>
      <c r="F2311" s="1550">
        <v>37.321815301940198</v>
      </c>
      <c r="G2311" s="1551">
        <v>11.7614751216871</v>
      </c>
    </row>
    <row r="2312" spans="1:7" x14ac:dyDescent="0.25">
      <c r="A2312" s="6" t="s">
        <v>6557</v>
      </c>
      <c r="B2312" s="6"/>
      <c r="C2312" s="1544">
        <v>82</v>
      </c>
      <c r="D2312" s="1544">
        <v>122022.688783133</v>
      </c>
      <c r="E2312" s="1545">
        <v>32850.839529307203</v>
      </c>
      <c r="F2312" s="1546">
        <v>26.583159626505299</v>
      </c>
      <c r="G2312" s="1547">
        <v>7.9043190698455401</v>
      </c>
    </row>
    <row r="2313" spans="1:7" x14ac:dyDescent="0.25">
      <c r="A2313" s="11" t="s">
        <v>6558</v>
      </c>
      <c r="B2313" s="11"/>
      <c r="C2313" s="1548">
        <v>7</v>
      </c>
      <c r="D2313" s="1548">
        <v>49589.696757247999</v>
      </c>
      <c r="E2313" s="1549">
        <v>48228.375440374402</v>
      </c>
      <c r="F2313" s="1550">
        <v>10.8033254952347</v>
      </c>
      <c r="G2313" s="1551">
        <v>10.1239498924333</v>
      </c>
    </row>
    <row r="2314" spans="1:7" x14ac:dyDescent="0.25">
      <c r="A2314" s="6" t="s">
        <v>6559</v>
      </c>
      <c r="B2314" s="6"/>
      <c r="C2314" s="1544">
        <v>3</v>
      </c>
      <c r="D2314" s="1544">
        <v>28578.076834912601</v>
      </c>
      <c r="E2314" s="1545">
        <v>29213.221351181801</v>
      </c>
      <c r="F2314" s="1546">
        <v>6.2258550921722096</v>
      </c>
      <c r="G2314" s="1547">
        <v>6.56149802624559</v>
      </c>
    </row>
    <row r="2315" spans="1:7" x14ac:dyDescent="0.25">
      <c r="A2315" s="11" t="s">
        <v>6560</v>
      </c>
      <c r="B2315" s="11"/>
      <c r="C2315" s="1548">
        <v>9</v>
      </c>
      <c r="D2315" s="1548">
        <v>18217.551482843901</v>
      </c>
      <c r="E2315" s="1549">
        <v>6723.48127147995</v>
      </c>
      <c r="F2315" s="1550">
        <v>3.9687707581432901</v>
      </c>
      <c r="G2315" s="1551">
        <v>1.3480288419317401</v>
      </c>
    </row>
    <row r="2316" spans="1:7" x14ac:dyDescent="0.25">
      <c r="A2316" s="6" t="s">
        <v>6561</v>
      </c>
      <c r="B2316" s="6"/>
      <c r="C2316" s="1544">
        <v>6</v>
      </c>
      <c r="D2316" s="1544">
        <v>13251.3114813723</v>
      </c>
      <c r="E2316" s="1545">
        <v>12687.797513559901</v>
      </c>
      <c r="F2316" s="1546">
        <v>2.8868543373595399</v>
      </c>
      <c r="G2316" s="1547">
        <v>2.7038550538741801</v>
      </c>
    </row>
    <row r="2317" spans="1:7" x14ac:dyDescent="0.25">
      <c r="A2317" s="11" t="s">
        <v>6562</v>
      </c>
      <c r="B2317" s="11"/>
      <c r="C2317" s="1548">
        <v>2</v>
      </c>
      <c r="D2317" s="1548">
        <v>11487.6823103312</v>
      </c>
      <c r="E2317" s="1549">
        <v>12266.9239471944</v>
      </c>
      <c r="F2317" s="1550">
        <v>2.5026402519031099</v>
      </c>
      <c r="G2317" s="1551">
        <v>2.6949486261830402</v>
      </c>
    </row>
    <row r="2318" spans="1:7" x14ac:dyDescent="0.25">
      <c r="A2318" s="6" t="s">
        <v>6563</v>
      </c>
      <c r="B2318" s="6"/>
      <c r="C2318" s="1544">
        <v>1</v>
      </c>
      <c r="D2318" s="1544">
        <v>9162.4684443076094</v>
      </c>
      <c r="E2318" s="1545">
        <v>9612.0255042825702</v>
      </c>
      <c r="F2318" s="1546">
        <v>1.9960825618318501</v>
      </c>
      <c r="G2318" s="1547">
        <v>2.13838487964281</v>
      </c>
    </row>
    <row r="2319" spans="1:7" x14ac:dyDescent="0.25">
      <c r="A2319" s="11" t="s">
        <v>6564</v>
      </c>
      <c r="B2319" s="11"/>
      <c r="C2319" s="1548">
        <v>3</v>
      </c>
      <c r="D2319" s="1548">
        <v>8959.17914765354</v>
      </c>
      <c r="E2319" s="1549">
        <v>9174.4210954317296</v>
      </c>
      <c r="F2319" s="1550">
        <v>1.95179512744397</v>
      </c>
      <c r="G2319" s="1551">
        <v>2.1103327124337401</v>
      </c>
    </row>
    <row r="2320" spans="1:7" x14ac:dyDescent="0.25">
      <c r="A2320" s="6" t="s">
        <v>6565</v>
      </c>
      <c r="B2320" s="6"/>
      <c r="C2320" s="1544">
        <v>4</v>
      </c>
      <c r="D2320" s="1544">
        <v>5874.46237609527</v>
      </c>
      <c r="E2320" s="1545">
        <v>5263.5796305290596</v>
      </c>
      <c r="F2320" s="1546">
        <v>1.27977651222865</v>
      </c>
      <c r="G2320" s="1547">
        <v>1.2527393640178099</v>
      </c>
    </row>
    <row r="2321" spans="1:7" x14ac:dyDescent="0.25">
      <c r="A2321" s="11" t="s">
        <v>6566</v>
      </c>
      <c r="B2321" s="11"/>
      <c r="C2321" s="1548">
        <v>5</v>
      </c>
      <c r="D2321" s="1548">
        <v>3870.71841913341</v>
      </c>
      <c r="E2321" s="1549">
        <v>4088.6616162241298</v>
      </c>
      <c r="F2321" s="1550">
        <v>0.84325240355874398</v>
      </c>
      <c r="G2321" s="1551">
        <v>0.984394431997893</v>
      </c>
    </row>
    <row r="2322" spans="1:7" x14ac:dyDescent="0.25">
      <c r="A2322" s="6" t="s">
        <v>6567</v>
      </c>
      <c r="B2322" s="6"/>
      <c r="C2322" s="1544">
        <v>1</v>
      </c>
      <c r="D2322" s="1544">
        <v>2522.7172549543702</v>
      </c>
      <c r="E2322" s="1545">
        <v>2727.1459856387501</v>
      </c>
      <c r="F2322" s="1546">
        <v>0.549584639953131</v>
      </c>
      <c r="G2322" s="1547">
        <v>0.63484525767542099</v>
      </c>
    </row>
    <row r="2323" spans="1:7" x14ac:dyDescent="0.25">
      <c r="A2323" s="11" t="s">
        <v>6568</v>
      </c>
      <c r="B2323" s="11"/>
      <c r="C2323" s="1548">
        <v>1</v>
      </c>
      <c r="D2323" s="1548">
        <v>2502.5605453038602</v>
      </c>
      <c r="E2323" s="1549">
        <v>2693.90187833346</v>
      </c>
      <c r="F2323" s="1550">
        <v>0.54519341537409505</v>
      </c>
      <c r="G2323" s="1551">
        <v>0.59786558949606505</v>
      </c>
    </row>
    <row r="2324" spans="1:7" x14ac:dyDescent="0.25">
      <c r="A2324" s="6" t="s">
        <v>6569</v>
      </c>
      <c r="B2324" s="6"/>
      <c r="C2324" s="1544">
        <v>1</v>
      </c>
      <c r="D2324" s="1544">
        <v>1935.89906680594</v>
      </c>
      <c r="E2324" s="1545">
        <v>1971.5328302386699</v>
      </c>
      <c r="F2324" s="1546">
        <v>0.42174381196571697</v>
      </c>
      <c r="G2324" s="1547">
        <v>0.46052053322000802</v>
      </c>
    </row>
    <row r="2325" spans="1:7" x14ac:dyDescent="0.25">
      <c r="A2325" s="11" t="s">
        <v>6570</v>
      </c>
      <c r="B2325" s="11"/>
      <c r="C2325" s="1548">
        <v>1</v>
      </c>
      <c r="D2325" s="1548">
        <v>1753.10811322686</v>
      </c>
      <c r="E2325" s="1549">
        <v>1757.4298504185899</v>
      </c>
      <c r="F2325" s="1550">
        <v>0.38192202844552398</v>
      </c>
      <c r="G2325" s="1551">
        <v>0.406949858905714</v>
      </c>
    </row>
    <row r="2326" spans="1:7" x14ac:dyDescent="0.25">
      <c r="A2326" s="6" t="s">
        <v>6571</v>
      </c>
      <c r="B2326" s="6"/>
      <c r="C2326" s="1544">
        <v>1</v>
      </c>
      <c r="D2326" s="1544">
        <v>1723.9975926379</v>
      </c>
      <c r="E2326" s="1545">
        <v>2048.7754739799302</v>
      </c>
      <c r="F2326" s="1546">
        <v>0.37558017822615802</v>
      </c>
      <c r="G2326" s="1547">
        <v>0.47075745999420499</v>
      </c>
    </row>
    <row r="2327" spans="1:7" x14ac:dyDescent="0.25">
      <c r="A2327" s="11" t="s">
        <v>6572</v>
      </c>
      <c r="B2327" s="11"/>
      <c r="C2327" s="1548">
        <v>1</v>
      </c>
      <c r="D2327" s="1548">
        <v>1593.5132440585701</v>
      </c>
      <c r="E2327" s="1549">
        <v>1684.72282774056</v>
      </c>
      <c r="F2327" s="1550">
        <v>0.347153610170362</v>
      </c>
      <c r="G2327" s="1551">
        <v>0.37130501843847702</v>
      </c>
    </row>
    <row r="2328" spans="1:7" x14ac:dyDescent="0.25">
      <c r="A2328" s="6" t="s">
        <v>6573</v>
      </c>
      <c r="B2328" s="6"/>
      <c r="C2328" s="1544">
        <v>1</v>
      </c>
      <c r="D2328" s="1544">
        <v>1290.9574227902101</v>
      </c>
      <c r="E2328" s="1545">
        <v>1255.81362580164</v>
      </c>
      <c r="F2328" s="1546">
        <v>0.281240542912849</v>
      </c>
      <c r="G2328" s="1547">
        <v>0.28640984540513298</v>
      </c>
    </row>
    <row r="2329" spans="1:7" x14ac:dyDescent="0.25">
      <c r="A2329" s="11" t="s">
        <v>6574</v>
      </c>
      <c r="B2329" s="11"/>
      <c r="C2329" s="1548">
        <v>1</v>
      </c>
      <c r="D2329" s="1548">
        <v>691.77911921127804</v>
      </c>
      <c r="E2329" s="1549">
        <v>743.03614302067797</v>
      </c>
      <c r="F2329" s="1550">
        <v>0.15070701142276899</v>
      </c>
      <c r="G2329" s="1551">
        <v>0.172434994146171</v>
      </c>
    </row>
    <row r="2330" spans="1:7" x14ac:dyDescent="0.25">
      <c r="A2330" s="6" t="s">
        <v>6575</v>
      </c>
      <c r="B2330" s="6"/>
      <c r="C2330" s="1544">
        <v>2</v>
      </c>
      <c r="D2330" s="1544">
        <v>657.029075718135</v>
      </c>
      <c r="E2330" s="1545">
        <v>706.69162319583802</v>
      </c>
      <c r="F2330" s="1546">
        <v>0.14313656725030899</v>
      </c>
      <c r="G2330" s="1547">
        <v>0.158759227784212</v>
      </c>
    </row>
    <row r="2331" spans="1:7" x14ac:dyDescent="0.25">
      <c r="A2331" s="11" t="s">
        <v>6576</v>
      </c>
      <c r="B2331" s="11"/>
      <c r="C2331" s="1548">
        <v>5</v>
      </c>
      <c r="D2331" s="1548">
        <v>639.81800479781396</v>
      </c>
      <c r="E2331" s="1549">
        <v>656.55631401083303</v>
      </c>
      <c r="F2331" s="1550">
        <v>0.13938706254605501</v>
      </c>
      <c r="G2331" s="1551">
        <v>0.144019314523714</v>
      </c>
    </row>
    <row r="2332" spans="1:7" x14ac:dyDescent="0.25">
      <c r="A2332" s="6" t="s">
        <v>6577</v>
      </c>
      <c r="B2332" s="6"/>
      <c r="C2332" s="1544">
        <v>1</v>
      </c>
      <c r="D2332" s="1544">
        <v>579.88696664855001</v>
      </c>
      <c r="E2332" s="1545">
        <v>638.05552328904696</v>
      </c>
      <c r="F2332" s="1546">
        <v>0.12633083202375001</v>
      </c>
      <c r="G2332" s="1547">
        <v>0.14082272764961401</v>
      </c>
    </row>
    <row r="2333" spans="1:7" x14ac:dyDescent="0.25">
      <c r="A2333" s="11" t="s">
        <v>6578</v>
      </c>
      <c r="B2333" s="11"/>
      <c r="C2333" s="1548">
        <v>1</v>
      </c>
      <c r="D2333" s="1548">
        <v>254.034682655637</v>
      </c>
      <c r="E2333" s="1549">
        <v>266.15266300962901</v>
      </c>
      <c r="F2333" s="1550">
        <v>5.5342531680361302E-2</v>
      </c>
      <c r="G2333" s="1551">
        <v>6.5411775595726196E-2</v>
      </c>
    </row>
    <row r="2334" spans="1:7" x14ac:dyDescent="0.25">
      <c r="A2334" s="6" t="s">
        <v>6579</v>
      </c>
      <c r="B2334" s="6"/>
      <c r="C2334" s="1544">
        <v>3</v>
      </c>
      <c r="D2334" s="1544">
        <v>248.46456320209899</v>
      </c>
      <c r="E2334" s="1545">
        <v>269.41204604624397</v>
      </c>
      <c r="F2334" s="1546">
        <v>5.4129057562975903E-2</v>
      </c>
      <c r="G2334" s="1547">
        <v>6.1033781485898303E-2</v>
      </c>
    </row>
    <row r="2335" spans="1:7" x14ac:dyDescent="0.25">
      <c r="A2335" s="11" t="s">
        <v>6580</v>
      </c>
      <c r="B2335" s="11"/>
      <c r="C2335" s="1548">
        <v>2</v>
      </c>
      <c r="D2335" s="1548">
        <v>147.74071727660601</v>
      </c>
      <c r="E2335" s="1549">
        <v>151.27483710623599</v>
      </c>
      <c r="F2335" s="1550">
        <v>3.2185941072634998E-2</v>
      </c>
      <c r="G2335" s="1551">
        <v>3.2895476248070397E-2</v>
      </c>
    </row>
    <row r="2336" spans="1:7" x14ac:dyDescent="0.25">
      <c r="A2336" s="6" t="s">
        <v>6581</v>
      </c>
      <c r="B2336" s="6"/>
      <c r="C2336" s="1544">
        <v>1</v>
      </c>
      <c r="D2336" s="1544">
        <v>47.613229511001101</v>
      </c>
      <c r="E2336" s="1545">
        <v>46.9595679833416</v>
      </c>
      <c r="F2336" s="1546">
        <v>1.03727437335353E-2</v>
      </c>
      <c r="G2336" s="1547">
        <v>1.06247253961899E-2</v>
      </c>
    </row>
    <row r="2337" spans="1:7" x14ac:dyDescent="0.25">
      <c r="A2337" s="11" t="s">
        <v>6582</v>
      </c>
      <c r="B2337" s="11"/>
      <c r="C2337" s="1548">
        <v>1</v>
      </c>
      <c r="D2337" s="1548">
        <v>39.573312896940202</v>
      </c>
      <c r="E2337" s="1549">
        <v>40.1053110362895</v>
      </c>
      <c r="F2337" s="1550">
        <v>8.6212138429325805E-3</v>
      </c>
      <c r="G2337" s="1551">
        <v>8.9659312540958398E-3</v>
      </c>
    </row>
    <row r="2338" spans="1:7" x14ac:dyDescent="0.25">
      <c r="A2338" s="6" t="s">
        <v>6583</v>
      </c>
      <c r="B2338" s="6"/>
      <c r="C2338" s="1544">
        <v>1</v>
      </c>
      <c r="D2338" s="1544">
        <v>34.1027384193156</v>
      </c>
      <c r="E2338" s="1545">
        <v>33.662291543338803</v>
      </c>
      <c r="F2338" s="1546">
        <v>7.4294260202118403E-3</v>
      </c>
      <c r="G2338" s="1547">
        <v>7.6590857963129699E-3</v>
      </c>
    </row>
    <row r="2339" spans="1:7" x14ac:dyDescent="0.25">
      <c r="A2339" s="11" t="s">
        <v>6584</v>
      </c>
      <c r="B2339" s="11"/>
      <c r="C2339" s="1548">
        <v>1</v>
      </c>
      <c r="D2339" s="1548">
        <v>30.350190107249301</v>
      </c>
      <c r="E2339" s="1549">
        <v>31.994872014233099</v>
      </c>
      <c r="F2339" s="1550">
        <v>6.6119174750336402E-3</v>
      </c>
      <c r="G2339" s="1551">
        <v>7.1860929432674596E-3</v>
      </c>
    </row>
    <row r="2340" spans="1:7" x14ac:dyDescent="0.25">
      <c r="A2340" s="6" t="s">
        <v>982</v>
      </c>
      <c r="B2340" s="6" t="s">
        <v>983</v>
      </c>
      <c r="C2340" s="1544">
        <v>5851</v>
      </c>
      <c r="D2340" s="1544">
        <v>6369042.4816178596</v>
      </c>
      <c r="E2340" s="1545">
        <v>94728.316588939895</v>
      </c>
      <c r="F2340" s="1546">
        <v>100</v>
      </c>
      <c r="G2340" s="1547">
        <v>0</v>
      </c>
    </row>
    <row r="2341" spans="1:7" x14ac:dyDescent="0.25">
      <c r="A2341" s="11" t="s">
        <v>6293</v>
      </c>
      <c r="B2341" s="11" t="s">
        <v>6294</v>
      </c>
      <c r="C2341" s="1548">
        <v>222</v>
      </c>
      <c r="D2341" s="1548">
        <v>459022.51838215598</v>
      </c>
      <c r="E2341" s="1549">
        <v>94728.316588930393</v>
      </c>
      <c r="F2341" s="1550">
        <v>6.7225856576080503</v>
      </c>
      <c r="G2341" s="1551">
        <v>1.38733765113441</v>
      </c>
    </row>
    <row r="2342" spans="1:7" x14ac:dyDescent="0.25">
      <c r="A2342" s="6" t="s">
        <v>6293</v>
      </c>
      <c r="B2342" s="6" t="s">
        <v>6295</v>
      </c>
      <c r="C2342" s="1544">
        <v>6073</v>
      </c>
      <c r="D2342" s="1544">
        <v>6828065.0000000102</v>
      </c>
      <c r="E2342" s="1545">
        <v>0</v>
      </c>
      <c r="F2342" s="1546">
        <v>100</v>
      </c>
      <c r="G2342" s="1547">
        <v>0</v>
      </c>
    </row>
    <row r="2343" spans="1:7" x14ac:dyDescent="0.25">
      <c r="A2343" s="3353" t="s">
        <v>16</v>
      </c>
      <c r="B2343" s="3354"/>
      <c r="C2343" s="3354"/>
      <c r="D2343" s="3354"/>
      <c r="E2343" s="3354"/>
      <c r="F2343" s="3354"/>
      <c r="G2343" s="3354"/>
    </row>
    <row r="2344" spans="1:7" x14ac:dyDescent="0.25">
      <c r="A2344" s="11" t="s">
        <v>984</v>
      </c>
      <c r="B2344" s="11" t="s">
        <v>998</v>
      </c>
      <c r="C2344" s="1556">
        <v>1124</v>
      </c>
      <c r="D2344" s="1556">
        <v>1455539.5488586901</v>
      </c>
      <c r="E2344" s="1557">
        <v>97257.833912319897</v>
      </c>
      <c r="F2344" s="1558">
        <v>100</v>
      </c>
      <c r="G2344" s="1559">
        <v>0</v>
      </c>
    </row>
    <row r="2345" spans="1:7" x14ac:dyDescent="0.25">
      <c r="A2345" s="6" t="s">
        <v>982</v>
      </c>
      <c r="B2345" s="6" t="s">
        <v>983</v>
      </c>
      <c r="C2345" s="1552">
        <v>4946</v>
      </c>
      <c r="D2345" s="1552">
        <v>5359536.4893274996</v>
      </c>
      <c r="E2345" s="1553">
        <v>102533.41187747801</v>
      </c>
      <c r="F2345" s="1554">
        <v>99.758233591782201</v>
      </c>
      <c r="G2345" s="1555">
        <v>0.17379453748363199</v>
      </c>
    </row>
    <row r="2346" spans="1:7" x14ac:dyDescent="0.25">
      <c r="A2346" s="11" t="s">
        <v>996</v>
      </c>
      <c r="B2346" s="11" t="s">
        <v>997</v>
      </c>
      <c r="C2346" s="1556">
        <v>11</v>
      </c>
      <c r="D2346" s="1556">
        <v>12988.9618138102</v>
      </c>
      <c r="E2346" s="1557">
        <v>9228.5794989237602</v>
      </c>
      <c r="F2346" s="1558">
        <v>0.24176640821777601</v>
      </c>
      <c r="G2346" s="1559">
        <v>0.17379453748363599</v>
      </c>
    </row>
    <row r="2347" spans="1:7" x14ac:dyDescent="0.25">
      <c r="A2347" s="6" t="s">
        <v>6293</v>
      </c>
      <c r="B2347" s="6" t="s">
        <v>6294</v>
      </c>
      <c r="C2347" s="1552">
        <v>1124</v>
      </c>
      <c r="D2347" s="1552">
        <v>1455539.5488586901</v>
      </c>
      <c r="E2347" s="1553">
        <v>97257.833912319897</v>
      </c>
      <c r="F2347" s="1554">
        <v>21.317013661391499</v>
      </c>
      <c r="G2347" s="1555">
        <v>1.42438353929437</v>
      </c>
    </row>
    <row r="2348" spans="1:7" x14ac:dyDescent="0.25">
      <c r="A2348" s="11" t="s">
        <v>6293</v>
      </c>
      <c r="B2348" s="11" t="s">
        <v>6295</v>
      </c>
      <c r="C2348" s="1556">
        <v>6081</v>
      </c>
      <c r="D2348" s="1556">
        <v>6828065.0000000102</v>
      </c>
      <c r="E2348" s="1557">
        <v>0</v>
      </c>
      <c r="F2348" s="1558">
        <v>100</v>
      </c>
      <c r="G2348" s="1559">
        <v>0</v>
      </c>
    </row>
    <row r="2349" spans="1:7" x14ac:dyDescent="0.25">
      <c r="A2349" s="3353" t="s">
        <v>19</v>
      </c>
      <c r="B2349" s="3354"/>
      <c r="C2349" s="3354"/>
      <c r="D2349" s="3354"/>
      <c r="E2349" s="3354"/>
      <c r="F2349" s="3354"/>
      <c r="G2349" s="3354"/>
    </row>
    <row r="2350" spans="1:7" x14ac:dyDescent="0.25">
      <c r="A2350" s="11" t="s">
        <v>986</v>
      </c>
      <c r="B2350" s="11" t="s">
        <v>999</v>
      </c>
      <c r="C2350" s="1564">
        <v>2535</v>
      </c>
      <c r="D2350" s="1564">
        <v>2395217.9618132799</v>
      </c>
      <c r="E2350" s="1565">
        <v>88830.751331834093</v>
      </c>
      <c r="F2350" s="1566">
        <v>100</v>
      </c>
      <c r="G2350" s="1567">
        <v>0</v>
      </c>
    </row>
    <row r="2351" spans="1:7" x14ac:dyDescent="0.25">
      <c r="A2351" s="6" t="s">
        <v>982</v>
      </c>
      <c r="B2351" s="6" t="s">
        <v>983</v>
      </c>
      <c r="C2351" s="1560">
        <v>3535</v>
      </c>
      <c r="D2351" s="1560">
        <v>4419858.0763729196</v>
      </c>
      <c r="E2351" s="1561">
        <v>86909.596531254996</v>
      </c>
      <c r="F2351" s="1562">
        <v>99.706983757799094</v>
      </c>
      <c r="G2351" s="1563">
        <v>0.207817832464535</v>
      </c>
    </row>
    <row r="2352" spans="1:7" x14ac:dyDescent="0.25">
      <c r="A2352" s="11" t="s">
        <v>996</v>
      </c>
      <c r="B2352" s="11" t="s">
        <v>997</v>
      </c>
      <c r="C2352" s="1564">
        <v>11</v>
      </c>
      <c r="D2352" s="1564">
        <v>12988.9618138102</v>
      </c>
      <c r="E2352" s="1565">
        <v>9228.5794989237602</v>
      </c>
      <c r="F2352" s="1566">
        <v>0.29301624220093597</v>
      </c>
      <c r="G2352" s="1567">
        <v>0.207817832464538</v>
      </c>
    </row>
    <row r="2353" spans="1:7" x14ac:dyDescent="0.25">
      <c r="A2353" s="6" t="s">
        <v>6293</v>
      </c>
      <c r="B2353" s="6" t="s">
        <v>6294</v>
      </c>
      <c r="C2353" s="1560">
        <v>2535</v>
      </c>
      <c r="D2353" s="1560">
        <v>2395217.9618132799</v>
      </c>
      <c r="E2353" s="1561">
        <v>88830.751331834093</v>
      </c>
      <c r="F2353" s="1562">
        <v>35.07901523804</v>
      </c>
      <c r="G2353" s="1563">
        <v>1.3009652270713701</v>
      </c>
    </row>
    <row r="2354" spans="1:7" x14ac:dyDescent="0.25">
      <c r="A2354" s="11" t="s">
        <v>6293</v>
      </c>
      <c r="B2354" s="11" t="s">
        <v>6295</v>
      </c>
      <c r="C2354" s="1564">
        <v>6081</v>
      </c>
      <c r="D2354" s="1564">
        <v>6828065.0000000102</v>
      </c>
      <c r="E2354" s="1565">
        <v>0</v>
      </c>
      <c r="F2354" s="1566">
        <v>100</v>
      </c>
      <c r="G2354" s="1567">
        <v>0</v>
      </c>
    </row>
    <row r="2355" spans="1:7" x14ac:dyDescent="0.25">
      <c r="A2355" s="3353" t="s">
        <v>21</v>
      </c>
      <c r="B2355" s="3354"/>
      <c r="C2355" s="3354"/>
      <c r="D2355" s="3354"/>
      <c r="E2355" s="3354"/>
      <c r="F2355" s="3354"/>
      <c r="G2355" s="3354"/>
    </row>
    <row r="2356" spans="1:7" x14ac:dyDescent="0.25">
      <c r="A2356" s="11" t="s">
        <v>988</v>
      </c>
      <c r="B2356" s="11" t="s">
        <v>1000</v>
      </c>
      <c r="C2356" s="1572">
        <v>903</v>
      </c>
      <c r="D2356" s="1572">
        <v>903221.98830439302</v>
      </c>
      <c r="E2356" s="1573">
        <v>52412.539932482097</v>
      </c>
      <c r="F2356" s="1574">
        <v>100</v>
      </c>
      <c r="G2356" s="1575">
        <v>0</v>
      </c>
    </row>
    <row r="2357" spans="1:7" x14ac:dyDescent="0.25">
      <c r="A2357" s="6" t="s">
        <v>982</v>
      </c>
      <c r="B2357" s="6" t="s">
        <v>983</v>
      </c>
      <c r="C2357" s="1568">
        <v>5167</v>
      </c>
      <c r="D2357" s="1568">
        <v>5911854.0498818103</v>
      </c>
      <c r="E2357" s="1569">
        <v>51696.316311532697</v>
      </c>
      <c r="F2357" s="1570">
        <v>99.780771207132901</v>
      </c>
      <c r="G2357" s="1571">
        <v>0.155862340042281</v>
      </c>
    </row>
    <row r="2358" spans="1:7" x14ac:dyDescent="0.25">
      <c r="A2358" s="11" t="s">
        <v>996</v>
      </c>
      <c r="B2358" s="11" t="s">
        <v>997</v>
      </c>
      <c r="C2358" s="1572">
        <v>11</v>
      </c>
      <c r="D2358" s="1572">
        <v>12988.9618138102</v>
      </c>
      <c r="E2358" s="1573">
        <v>9228.5794989237602</v>
      </c>
      <c r="F2358" s="1574">
        <v>0.21922879286708599</v>
      </c>
      <c r="G2358" s="1575">
        <v>0.155862340042279</v>
      </c>
    </row>
    <row r="2359" spans="1:7" x14ac:dyDescent="0.25">
      <c r="A2359" s="6" t="s">
        <v>6293</v>
      </c>
      <c r="B2359" s="6" t="s">
        <v>6294</v>
      </c>
      <c r="C2359" s="1568">
        <v>903</v>
      </c>
      <c r="D2359" s="1568">
        <v>903221.98830439302</v>
      </c>
      <c r="E2359" s="1569">
        <v>52412.539932482097</v>
      </c>
      <c r="F2359" s="1570">
        <v>13.228081283707599</v>
      </c>
      <c r="G2359" s="1571">
        <v>0.76760458391188602</v>
      </c>
    </row>
    <row r="2360" spans="1:7" x14ac:dyDescent="0.25">
      <c r="A2360" s="11" t="s">
        <v>6293</v>
      </c>
      <c r="B2360" s="11" t="s">
        <v>6295</v>
      </c>
      <c r="C2360" s="1572">
        <v>6081</v>
      </c>
      <c r="D2360" s="1572">
        <v>6828065.0000000102</v>
      </c>
      <c r="E2360" s="1573">
        <v>0</v>
      </c>
      <c r="F2360" s="1574">
        <v>100</v>
      </c>
      <c r="G2360" s="1575">
        <v>0</v>
      </c>
    </row>
    <row r="2361" spans="1:7" x14ac:dyDescent="0.25">
      <c r="A2361" s="3353" t="s">
        <v>23</v>
      </c>
      <c r="B2361" s="3354"/>
      <c r="C2361" s="3354"/>
      <c r="D2361" s="3354"/>
      <c r="E2361" s="3354"/>
      <c r="F2361" s="3354"/>
      <c r="G2361" s="3354"/>
    </row>
    <row r="2362" spans="1:7" x14ac:dyDescent="0.25">
      <c r="A2362" s="11" t="s">
        <v>990</v>
      </c>
      <c r="B2362" s="11" t="s">
        <v>1001</v>
      </c>
      <c r="C2362" s="1580">
        <v>690</v>
      </c>
      <c r="D2362" s="1580">
        <v>783697.79378187505</v>
      </c>
      <c r="E2362" s="1581">
        <v>65522.700381648399</v>
      </c>
      <c r="F2362" s="1582">
        <v>100</v>
      </c>
      <c r="G2362" s="1583">
        <v>0</v>
      </c>
    </row>
    <row r="2363" spans="1:7" x14ac:dyDescent="0.25">
      <c r="A2363" s="6" t="s">
        <v>982</v>
      </c>
      <c r="B2363" s="6" t="s">
        <v>983</v>
      </c>
      <c r="C2363" s="1576">
        <v>5380</v>
      </c>
      <c r="D2363" s="1576">
        <v>6031378.2444043197</v>
      </c>
      <c r="E2363" s="1577">
        <v>70746.602775004605</v>
      </c>
      <c r="F2363" s="1578">
        <v>99.785106341645701</v>
      </c>
      <c r="G2363" s="1579">
        <v>0.15367102107723299</v>
      </c>
    </row>
    <row r="2364" spans="1:7" x14ac:dyDescent="0.25">
      <c r="A2364" s="11" t="s">
        <v>996</v>
      </c>
      <c r="B2364" s="11" t="s">
        <v>997</v>
      </c>
      <c r="C2364" s="1580">
        <v>11</v>
      </c>
      <c r="D2364" s="1580">
        <v>12988.9618138102</v>
      </c>
      <c r="E2364" s="1581">
        <v>9228.5794989237602</v>
      </c>
      <c r="F2364" s="1582">
        <v>0.21489365835430799</v>
      </c>
      <c r="G2364" s="1583">
        <v>0.15367102107723499</v>
      </c>
    </row>
    <row r="2365" spans="1:7" x14ac:dyDescent="0.25">
      <c r="A2365" s="6" t="s">
        <v>6293</v>
      </c>
      <c r="B2365" s="6" t="s">
        <v>6294</v>
      </c>
      <c r="C2365" s="1576">
        <v>690</v>
      </c>
      <c r="D2365" s="1576">
        <v>783697.79378187505</v>
      </c>
      <c r="E2365" s="1577">
        <v>65522.700381648399</v>
      </c>
      <c r="F2365" s="1578">
        <v>11.4775971491466</v>
      </c>
      <c r="G2365" s="1579">
        <v>0.95960862091453802</v>
      </c>
    </row>
    <row r="2366" spans="1:7" x14ac:dyDescent="0.25">
      <c r="A2366" s="11" t="s">
        <v>6293</v>
      </c>
      <c r="B2366" s="11" t="s">
        <v>6295</v>
      </c>
      <c r="C2366" s="1580">
        <v>6081</v>
      </c>
      <c r="D2366" s="1580">
        <v>6828065.0000000102</v>
      </c>
      <c r="E2366" s="1581">
        <v>0</v>
      </c>
      <c r="F2366" s="1582">
        <v>100</v>
      </c>
      <c r="G2366" s="1583">
        <v>0</v>
      </c>
    </row>
    <row r="2367" spans="1:7" x14ac:dyDescent="0.25">
      <c r="A2367" s="3353" t="s">
        <v>25</v>
      </c>
      <c r="B2367" s="3354"/>
      <c r="C2367" s="3354"/>
      <c r="D2367" s="3354"/>
      <c r="E2367" s="3354"/>
      <c r="F2367" s="3354"/>
      <c r="G2367" s="3354"/>
    </row>
    <row r="2368" spans="1:7" x14ac:dyDescent="0.25">
      <c r="A2368" s="11" t="s">
        <v>992</v>
      </c>
      <c r="B2368" s="11" t="s">
        <v>853</v>
      </c>
      <c r="C2368" s="1588">
        <v>1336</v>
      </c>
      <c r="D2368" s="1588">
        <v>1176610.2449642799</v>
      </c>
      <c r="E2368" s="1589">
        <v>76548.744682054603</v>
      </c>
      <c r="F2368" s="1590">
        <v>100</v>
      </c>
      <c r="G2368" s="1591">
        <v>0</v>
      </c>
    </row>
    <row r="2369" spans="1:7" x14ac:dyDescent="0.25">
      <c r="A2369" s="6" t="s">
        <v>982</v>
      </c>
      <c r="B2369" s="6" t="s">
        <v>983</v>
      </c>
      <c r="C2369" s="1584">
        <v>4734</v>
      </c>
      <c r="D2369" s="1584">
        <v>5638465.7932219002</v>
      </c>
      <c r="E2369" s="1585">
        <v>82712.371522514804</v>
      </c>
      <c r="F2369" s="1586">
        <v>99.770166047914699</v>
      </c>
      <c r="G2369" s="1587">
        <v>0.16498158541723501</v>
      </c>
    </row>
    <row r="2370" spans="1:7" x14ac:dyDescent="0.25">
      <c r="A2370" s="11" t="s">
        <v>996</v>
      </c>
      <c r="B2370" s="11" t="s">
        <v>997</v>
      </c>
      <c r="C2370" s="1588">
        <v>11</v>
      </c>
      <c r="D2370" s="1588">
        <v>12988.9618138102</v>
      </c>
      <c r="E2370" s="1589">
        <v>9228.5794989237602</v>
      </c>
      <c r="F2370" s="1590">
        <v>0.22983395208528301</v>
      </c>
      <c r="G2370" s="1591">
        <v>0.16498158541723101</v>
      </c>
    </row>
    <row r="2371" spans="1:7" x14ac:dyDescent="0.25">
      <c r="A2371" s="6" t="s">
        <v>6293</v>
      </c>
      <c r="B2371" s="6" t="s">
        <v>6294</v>
      </c>
      <c r="C2371" s="1584">
        <v>1336</v>
      </c>
      <c r="D2371" s="1584">
        <v>1176610.2449642799</v>
      </c>
      <c r="E2371" s="1585">
        <v>76548.744682054603</v>
      </c>
      <c r="F2371" s="1586">
        <v>17.231971941747499</v>
      </c>
      <c r="G2371" s="1587">
        <v>1.1210898648746499</v>
      </c>
    </row>
    <row r="2372" spans="1:7" x14ac:dyDescent="0.25">
      <c r="A2372" s="11" t="s">
        <v>6293</v>
      </c>
      <c r="B2372" s="11" t="s">
        <v>6295</v>
      </c>
      <c r="C2372" s="1588">
        <v>6081</v>
      </c>
      <c r="D2372" s="1588">
        <v>6828065</v>
      </c>
      <c r="E2372" s="1589">
        <v>0</v>
      </c>
      <c r="F2372" s="1590">
        <v>100</v>
      </c>
      <c r="G2372" s="1591">
        <v>0</v>
      </c>
    </row>
    <row r="2373" spans="1:7" x14ac:dyDescent="0.25">
      <c r="A2373" s="3353" t="s">
        <v>27</v>
      </c>
      <c r="B2373" s="3354"/>
      <c r="C2373" s="3354"/>
      <c r="D2373" s="3354"/>
      <c r="E2373" s="3354"/>
      <c r="F2373" s="3354"/>
      <c r="G2373" s="3354"/>
    </row>
    <row r="2374" spans="1:7" x14ac:dyDescent="0.25">
      <c r="A2374" s="11" t="s">
        <v>994</v>
      </c>
      <c r="B2374" s="11" t="s">
        <v>1002</v>
      </c>
      <c r="C2374" s="1596">
        <v>1602</v>
      </c>
      <c r="D2374" s="1596">
        <v>1613384.0442034099</v>
      </c>
      <c r="E2374" s="1597">
        <v>59585.443652021597</v>
      </c>
      <c r="F2374" s="1598">
        <v>100</v>
      </c>
      <c r="G2374" s="1599">
        <v>0</v>
      </c>
    </row>
    <row r="2375" spans="1:7" x14ac:dyDescent="0.25">
      <c r="A2375" s="6" t="s">
        <v>982</v>
      </c>
      <c r="B2375" s="6" t="s">
        <v>983</v>
      </c>
      <c r="C2375" s="1592">
        <v>4468</v>
      </c>
      <c r="D2375" s="1592">
        <v>5201691.9939828003</v>
      </c>
      <c r="E2375" s="1593">
        <v>58315.2671863211</v>
      </c>
      <c r="F2375" s="1594">
        <v>99.750915503289406</v>
      </c>
      <c r="G2375" s="1595">
        <v>0.17709595562035799</v>
      </c>
    </row>
    <row r="2376" spans="1:7" x14ac:dyDescent="0.25">
      <c r="A2376" s="11" t="s">
        <v>996</v>
      </c>
      <c r="B2376" s="11" t="s">
        <v>997</v>
      </c>
      <c r="C2376" s="1596">
        <v>11</v>
      </c>
      <c r="D2376" s="1596">
        <v>12988.9618138102</v>
      </c>
      <c r="E2376" s="1597">
        <v>9228.5794989237602</v>
      </c>
      <c r="F2376" s="1598">
        <v>0.249084496710614</v>
      </c>
      <c r="G2376" s="1599">
        <v>0.17709595562035299</v>
      </c>
    </row>
    <row r="2377" spans="1:7" x14ac:dyDescent="0.25">
      <c r="A2377" s="6" t="s">
        <v>6293</v>
      </c>
      <c r="B2377" s="6" t="s">
        <v>6294</v>
      </c>
      <c r="C2377" s="1592">
        <v>1602</v>
      </c>
      <c r="D2377" s="1592">
        <v>1613384.0442034099</v>
      </c>
      <c r="E2377" s="1593">
        <v>59585.443652021597</v>
      </c>
      <c r="F2377" s="1594">
        <v>23.628715371095701</v>
      </c>
      <c r="G2377" s="1595">
        <v>0.87265489786675798</v>
      </c>
    </row>
    <row r="2378" spans="1:7" x14ac:dyDescent="0.25">
      <c r="A2378" s="11" t="s">
        <v>6293</v>
      </c>
      <c r="B2378" s="11" t="s">
        <v>6295</v>
      </c>
      <c r="C2378" s="1596">
        <v>6081</v>
      </c>
      <c r="D2378" s="1596">
        <v>6828065.0000000196</v>
      </c>
      <c r="E2378" s="1597">
        <v>0</v>
      </c>
      <c r="F2378" s="1598">
        <v>100</v>
      </c>
      <c r="G2378" s="1599">
        <v>0</v>
      </c>
    </row>
    <row r="2379" spans="1:7" x14ac:dyDescent="0.25">
      <c r="A2379" s="3353" t="s">
        <v>29</v>
      </c>
      <c r="B2379" s="3354"/>
      <c r="C2379" s="3354"/>
      <c r="D2379" s="3354"/>
      <c r="E2379" s="3354"/>
      <c r="F2379" s="3354"/>
      <c r="G2379" s="3354"/>
    </row>
    <row r="2380" spans="1:7" x14ac:dyDescent="0.25">
      <c r="A2380" s="11" t="s">
        <v>1003</v>
      </c>
      <c r="B2380" s="11" t="s">
        <v>1004</v>
      </c>
      <c r="C2380" s="1604">
        <v>532</v>
      </c>
      <c r="D2380" s="1604">
        <v>437623.51327982498</v>
      </c>
      <c r="E2380" s="1605">
        <v>38793.884753966602</v>
      </c>
      <c r="F2380" s="1606">
        <v>100</v>
      </c>
      <c r="G2380" s="1607">
        <v>0</v>
      </c>
    </row>
    <row r="2381" spans="1:7" x14ac:dyDescent="0.25">
      <c r="A2381" s="6" t="s">
        <v>982</v>
      </c>
      <c r="B2381" s="6" t="s">
        <v>983</v>
      </c>
      <c r="C2381" s="1600">
        <v>5538</v>
      </c>
      <c r="D2381" s="1600">
        <v>6377452.5249063699</v>
      </c>
      <c r="E2381" s="1601">
        <v>36423.433997347398</v>
      </c>
      <c r="F2381" s="1602">
        <v>99.796743905083801</v>
      </c>
      <c r="G2381" s="1603">
        <v>0.14400136109956299</v>
      </c>
    </row>
    <row r="2382" spans="1:7" x14ac:dyDescent="0.25">
      <c r="A2382" s="11" t="s">
        <v>996</v>
      </c>
      <c r="B2382" s="11" t="s">
        <v>997</v>
      </c>
      <c r="C2382" s="1604">
        <v>11</v>
      </c>
      <c r="D2382" s="1604">
        <v>12988.9618138102</v>
      </c>
      <c r="E2382" s="1605">
        <v>9228.5794989237602</v>
      </c>
      <c r="F2382" s="1606">
        <v>0.203256094916169</v>
      </c>
      <c r="G2382" s="1607">
        <v>0.14400136109956399</v>
      </c>
    </row>
    <row r="2383" spans="1:7" x14ac:dyDescent="0.25">
      <c r="A2383" s="6" t="s">
        <v>6293</v>
      </c>
      <c r="B2383" s="6" t="s">
        <v>6294</v>
      </c>
      <c r="C2383" s="1600">
        <v>532</v>
      </c>
      <c r="D2383" s="1600">
        <v>437623.51327982498</v>
      </c>
      <c r="E2383" s="1601">
        <v>38793.884753966602</v>
      </c>
      <c r="F2383" s="1602">
        <v>6.4091878633232797</v>
      </c>
      <c r="G2383" s="1603">
        <v>0.56815341907212702</v>
      </c>
    </row>
    <row r="2384" spans="1:7" x14ac:dyDescent="0.25">
      <c r="A2384" s="11" t="s">
        <v>6293</v>
      </c>
      <c r="B2384" s="11" t="s">
        <v>6295</v>
      </c>
      <c r="C2384" s="1604">
        <v>6081</v>
      </c>
      <c r="D2384" s="1604">
        <v>6828065.0000000102</v>
      </c>
      <c r="E2384" s="1605">
        <v>0</v>
      </c>
      <c r="F2384" s="1606">
        <v>100</v>
      </c>
      <c r="G2384" s="1607">
        <v>0</v>
      </c>
    </row>
    <row r="2385" spans="1:7" x14ac:dyDescent="0.25">
      <c r="A2385" s="3353" t="s">
        <v>31</v>
      </c>
      <c r="B2385" s="3354"/>
      <c r="C2385" s="3354"/>
      <c r="D2385" s="3354"/>
      <c r="E2385" s="3354"/>
      <c r="F2385" s="3354"/>
      <c r="G2385" s="3354"/>
    </row>
    <row r="2386" spans="1:7" x14ac:dyDescent="0.25">
      <c r="A2386" s="11" t="s">
        <v>982</v>
      </c>
      <c r="B2386" s="11" t="s">
        <v>983</v>
      </c>
      <c r="C2386" s="1612">
        <v>6060</v>
      </c>
      <c r="D2386" s="1612">
        <v>6811833.8519992298</v>
      </c>
      <c r="E2386" s="1613">
        <v>8718.4631359255509</v>
      </c>
      <c r="F2386" s="1614">
        <v>99.762287734507694</v>
      </c>
      <c r="G2386" s="1615">
        <v>0.127685707970249</v>
      </c>
    </row>
    <row r="2387" spans="1:7" x14ac:dyDescent="0.25">
      <c r="A2387" s="6" t="s">
        <v>996</v>
      </c>
      <c r="B2387" s="6" t="s">
        <v>997</v>
      </c>
      <c r="C2387" s="1608">
        <v>11</v>
      </c>
      <c r="D2387" s="1608">
        <v>12988.9618138102</v>
      </c>
      <c r="E2387" s="1609">
        <v>9228.5794989237602</v>
      </c>
      <c r="F2387" s="1610">
        <v>0.19022902994933699</v>
      </c>
      <c r="G2387" s="1611">
        <v>0.135156585341876</v>
      </c>
    </row>
    <row r="2388" spans="1:7" x14ac:dyDescent="0.25">
      <c r="A2388" s="11" t="s">
        <v>978</v>
      </c>
      <c r="B2388" s="11" t="s">
        <v>979</v>
      </c>
      <c r="C2388" s="1612">
        <v>10</v>
      </c>
      <c r="D2388" s="1612">
        <v>3242.1861869774398</v>
      </c>
      <c r="E2388" s="1613">
        <v>1736.2234902431501</v>
      </c>
      <c r="F2388" s="1614">
        <v>4.74832355429749E-2</v>
      </c>
      <c r="G2388" s="1615">
        <v>2.5427752814935901E-2</v>
      </c>
    </row>
    <row r="2389" spans="1:7" x14ac:dyDescent="0.25">
      <c r="A2389" s="6" t="s">
        <v>6293</v>
      </c>
      <c r="B2389" s="6" t="s">
        <v>6294</v>
      </c>
      <c r="C2389" s="1608">
        <v>0</v>
      </c>
      <c r="D2389" s="1608">
        <v>0</v>
      </c>
      <c r="E2389" s="1609">
        <v>0</v>
      </c>
      <c r="F2389" s="1610">
        <v>0</v>
      </c>
      <c r="G2389" s="1611">
        <v>0</v>
      </c>
    </row>
    <row r="2390" spans="1:7" x14ac:dyDescent="0.25">
      <c r="A2390" s="11" t="s">
        <v>6293</v>
      </c>
      <c r="B2390" s="11" t="s">
        <v>6295</v>
      </c>
      <c r="C2390" s="1612">
        <v>6081</v>
      </c>
      <c r="D2390" s="1612">
        <v>6828065.0000000196</v>
      </c>
      <c r="E2390" s="1613">
        <v>0</v>
      </c>
      <c r="F2390" s="1614">
        <v>100</v>
      </c>
      <c r="G2390" s="1615">
        <v>0</v>
      </c>
    </row>
    <row r="2391" spans="1:7" x14ac:dyDescent="0.25">
      <c r="A2391" s="3353" t="s">
        <v>35</v>
      </c>
      <c r="B2391" s="3354"/>
      <c r="C2391" s="3354"/>
      <c r="D2391" s="3354"/>
      <c r="E2391" s="3354"/>
      <c r="F2391" s="3354"/>
      <c r="G2391" s="3354"/>
    </row>
    <row r="2392" spans="1:7" x14ac:dyDescent="0.25">
      <c r="A2392" s="11" t="s">
        <v>982</v>
      </c>
      <c r="B2392" s="11" t="s">
        <v>983</v>
      </c>
      <c r="C2392" s="1620">
        <v>6062</v>
      </c>
      <c r="D2392" s="1620">
        <v>6805509.8639578298</v>
      </c>
      <c r="E2392" s="1621">
        <v>11540.9508216755</v>
      </c>
      <c r="F2392" s="1622">
        <v>99.669670162158894</v>
      </c>
      <c r="G2392" s="1623">
        <v>0.16902227529568101</v>
      </c>
    </row>
    <row r="2393" spans="1:7" x14ac:dyDescent="0.25">
      <c r="A2393" s="6" t="s">
        <v>996</v>
      </c>
      <c r="B2393" s="6" t="s">
        <v>997</v>
      </c>
      <c r="C2393" s="1616">
        <v>11</v>
      </c>
      <c r="D2393" s="1616">
        <v>12988.9618138102</v>
      </c>
      <c r="E2393" s="1617">
        <v>9228.5794989237602</v>
      </c>
      <c r="F2393" s="1618">
        <v>0.19022902994933699</v>
      </c>
      <c r="G2393" s="1619">
        <v>0.135156585341876</v>
      </c>
    </row>
    <row r="2394" spans="1:7" x14ac:dyDescent="0.25">
      <c r="A2394" s="11" t="s">
        <v>980</v>
      </c>
      <c r="B2394" s="11" t="s">
        <v>981</v>
      </c>
      <c r="C2394" s="1620">
        <v>8</v>
      </c>
      <c r="D2394" s="1620">
        <v>9566.1742283747899</v>
      </c>
      <c r="E2394" s="1621">
        <v>3917.84022978762</v>
      </c>
      <c r="F2394" s="1622">
        <v>0.14010080789176399</v>
      </c>
      <c r="G2394" s="1623">
        <v>5.7378484677395897E-2</v>
      </c>
    </row>
    <row r="2395" spans="1:7" x14ac:dyDescent="0.25">
      <c r="A2395" s="6" t="s">
        <v>6293</v>
      </c>
      <c r="B2395" s="6" t="s">
        <v>6294</v>
      </c>
      <c r="C2395" s="1616">
        <v>0</v>
      </c>
      <c r="D2395" s="1616">
        <v>0</v>
      </c>
      <c r="E2395" s="1617">
        <v>0</v>
      </c>
      <c r="F2395" s="1618">
        <v>0</v>
      </c>
      <c r="G2395" s="1619">
        <v>0</v>
      </c>
    </row>
    <row r="2396" spans="1:7" x14ac:dyDescent="0.25">
      <c r="A2396" s="11" t="s">
        <v>6293</v>
      </c>
      <c r="B2396" s="11" t="s">
        <v>6295</v>
      </c>
      <c r="C2396" s="1620">
        <v>6081</v>
      </c>
      <c r="D2396" s="1620">
        <v>6828065.0000000102</v>
      </c>
      <c r="E2396" s="1621">
        <v>0</v>
      </c>
      <c r="F2396" s="1622">
        <v>100</v>
      </c>
      <c r="G2396" s="1623">
        <v>0</v>
      </c>
    </row>
    <row r="2397" spans="1:7" x14ac:dyDescent="0.25">
      <c r="A2397" s="3353" t="s">
        <v>37</v>
      </c>
      <c r="B2397" s="3354"/>
      <c r="C2397" s="3354"/>
      <c r="D2397" s="3354"/>
      <c r="E2397" s="3354"/>
      <c r="F2397" s="3354"/>
      <c r="G2397" s="3354"/>
    </row>
    <row r="2398" spans="1:7" x14ac:dyDescent="0.25">
      <c r="A2398" s="11" t="s">
        <v>1005</v>
      </c>
      <c r="B2398" s="11" t="s">
        <v>1006</v>
      </c>
      <c r="C2398" s="1628">
        <v>242</v>
      </c>
      <c r="D2398" s="1628">
        <v>217380.10127634701</v>
      </c>
      <c r="E2398" s="1629">
        <v>31630.387930538502</v>
      </c>
      <c r="F2398" s="1630">
        <v>100</v>
      </c>
      <c r="G2398" s="1631">
        <v>0</v>
      </c>
    </row>
    <row r="2399" spans="1:7" x14ac:dyDescent="0.25">
      <c r="A2399" s="6" t="s">
        <v>982</v>
      </c>
      <c r="B2399" s="6" t="s">
        <v>983</v>
      </c>
      <c r="C2399" s="1624">
        <v>5828</v>
      </c>
      <c r="D2399" s="1624">
        <v>6597695.93690986</v>
      </c>
      <c r="E2399" s="1625">
        <v>32737.452251466199</v>
      </c>
      <c r="F2399" s="1626">
        <v>99.803515641528804</v>
      </c>
      <c r="G2399" s="1627">
        <v>0.13955167587296499</v>
      </c>
    </row>
    <row r="2400" spans="1:7" x14ac:dyDescent="0.25">
      <c r="A2400" s="11" t="s">
        <v>996</v>
      </c>
      <c r="B2400" s="11" t="s">
        <v>997</v>
      </c>
      <c r="C2400" s="1628">
        <v>11</v>
      </c>
      <c r="D2400" s="1628">
        <v>12988.9618138102</v>
      </c>
      <c r="E2400" s="1629">
        <v>9228.5794989237602</v>
      </c>
      <c r="F2400" s="1630">
        <v>0.19648435847120799</v>
      </c>
      <c r="G2400" s="1631">
        <v>0.13955167587296199</v>
      </c>
    </row>
    <row r="2401" spans="1:7" x14ac:dyDescent="0.25">
      <c r="A2401" s="6" t="s">
        <v>6293</v>
      </c>
      <c r="B2401" s="6" t="s">
        <v>6294</v>
      </c>
      <c r="C2401" s="1624">
        <v>242</v>
      </c>
      <c r="D2401" s="1624">
        <v>217380.10127634701</v>
      </c>
      <c r="E2401" s="1625">
        <v>31630.387930538502</v>
      </c>
      <c r="F2401" s="1626">
        <v>3.1836267123459798</v>
      </c>
      <c r="G2401" s="1627">
        <v>0.463240873227453</v>
      </c>
    </row>
    <row r="2402" spans="1:7" x14ac:dyDescent="0.25">
      <c r="A2402" s="11" t="s">
        <v>6293</v>
      </c>
      <c r="B2402" s="11" t="s">
        <v>6295</v>
      </c>
      <c r="C2402" s="1628">
        <v>6081</v>
      </c>
      <c r="D2402" s="1628">
        <v>6828065.0000000102</v>
      </c>
      <c r="E2402" s="1629">
        <v>0</v>
      </c>
      <c r="F2402" s="1630">
        <v>100</v>
      </c>
      <c r="G2402" s="1631">
        <v>0</v>
      </c>
    </row>
    <row r="2403" spans="1:7" x14ac:dyDescent="0.25">
      <c r="A2403" s="3353" t="s">
        <v>33</v>
      </c>
      <c r="B2403" s="3354"/>
      <c r="C2403" s="3354"/>
      <c r="D2403" s="3354"/>
      <c r="E2403" s="3354"/>
      <c r="F2403" s="3354"/>
      <c r="G2403" s="3354"/>
    </row>
    <row r="2404" spans="1:7" x14ac:dyDescent="0.25">
      <c r="A2404" s="11" t="s">
        <v>982</v>
      </c>
      <c r="B2404" s="11" t="s">
        <v>983</v>
      </c>
      <c r="C2404" s="1636">
        <v>5839</v>
      </c>
      <c r="D2404" s="1636">
        <v>6610684.8987236703</v>
      </c>
      <c r="E2404" s="1637">
        <v>31630.387930527901</v>
      </c>
      <c r="F2404" s="1638">
        <v>96.816373287654002</v>
      </c>
      <c r="G2404" s="1639">
        <v>0.46324087322744301</v>
      </c>
    </row>
    <row r="2405" spans="1:7" x14ac:dyDescent="0.25">
      <c r="A2405" s="6" t="s">
        <v>996</v>
      </c>
      <c r="B2405" s="6" t="s">
        <v>997</v>
      </c>
      <c r="C2405" s="1632">
        <v>242</v>
      </c>
      <c r="D2405" s="1632">
        <v>217380.10127634701</v>
      </c>
      <c r="E2405" s="1633">
        <v>31630.387930538502</v>
      </c>
      <c r="F2405" s="1634">
        <v>3.1836267123459798</v>
      </c>
      <c r="G2405" s="1635">
        <v>0.463240873227453</v>
      </c>
    </row>
    <row r="2406" spans="1:7" x14ac:dyDescent="0.25">
      <c r="A2406" s="11" t="s">
        <v>6293</v>
      </c>
      <c r="B2406" s="11" t="s">
        <v>6294</v>
      </c>
      <c r="C2406" s="1636">
        <v>0</v>
      </c>
      <c r="D2406" s="1636">
        <v>0</v>
      </c>
      <c r="E2406" s="1637">
        <v>0</v>
      </c>
      <c r="F2406" s="1638">
        <v>0</v>
      </c>
      <c r="G2406" s="1639">
        <v>0</v>
      </c>
    </row>
    <row r="2407" spans="1:7" x14ac:dyDescent="0.25">
      <c r="A2407" s="6" t="s">
        <v>6293</v>
      </c>
      <c r="B2407" s="6" t="s">
        <v>6295</v>
      </c>
      <c r="C2407" s="1632">
        <v>6081</v>
      </c>
      <c r="D2407" s="1632">
        <v>6828065.0000000102</v>
      </c>
      <c r="E2407" s="1633">
        <v>0</v>
      </c>
      <c r="F2407" s="1634">
        <v>100</v>
      </c>
      <c r="G2407" s="1635">
        <v>0</v>
      </c>
    </row>
    <row r="2408" spans="1:7" x14ac:dyDescent="0.25">
      <c r="A2408" s="3353" t="s">
        <v>928</v>
      </c>
      <c r="B2408" s="3354"/>
      <c r="C2408" s="3354"/>
      <c r="D2408" s="3354"/>
      <c r="E2408" s="3354"/>
      <c r="F2408" s="3354"/>
      <c r="G2408" s="3354"/>
    </row>
    <row r="2409" spans="1:7" x14ac:dyDescent="0.25">
      <c r="A2409" s="11" t="s">
        <v>1174</v>
      </c>
      <c r="B2409" s="11" t="s">
        <v>1059</v>
      </c>
      <c r="C2409" s="1644">
        <v>301</v>
      </c>
      <c r="D2409" s="1644">
        <v>267948.107257978</v>
      </c>
      <c r="E2409" s="1645">
        <v>64350.275891651901</v>
      </c>
      <c r="F2409" s="1646">
        <v>100</v>
      </c>
      <c r="G2409" s="1647">
        <v>0</v>
      </c>
    </row>
    <row r="2410" spans="1:7" x14ac:dyDescent="0.25">
      <c r="A2410" s="6" t="s">
        <v>982</v>
      </c>
      <c r="B2410" s="6" t="s">
        <v>983</v>
      </c>
      <c r="C2410" s="1640">
        <v>5779</v>
      </c>
      <c r="D2410" s="1640">
        <v>6560092.4770745598</v>
      </c>
      <c r="E2410" s="1641">
        <v>64345.943882031497</v>
      </c>
      <c r="F2410" s="1642">
        <v>99.999627816578993</v>
      </c>
      <c r="G2410" s="1643">
        <v>3.85266960637083E-4</v>
      </c>
    </row>
    <row r="2411" spans="1:7" x14ac:dyDescent="0.25">
      <c r="A2411" s="11" t="s">
        <v>996</v>
      </c>
      <c r="B2411" s="11" t="s">
        <v>997</v>
      </c>
      <c r="C2411" s="1644">
        <v>1</v>
      </c>
      <c r="D2411" s="1644">
        <v>24.415667470007801</v>
      </c>
      <c r="E2411" s="1645">
        <v>25.258237333140801</v>
      </c>
      <c r="F2411" s="1646">
        <v>3.7218342095429399E-4</v>
      </c>
      <c r="G2411" s="1647">
        <v>3.8526696063715098E-4</v>
      </c>
    </row>
    <row r="2412" spans="1:7" x14ac:dyDescent="0.25">
      <c r="A2412" s="6" t="s">
        <v>6293</v>
      </c>
      <c r="B2412" s="6" t="s">
        <v>6294</v>
      </c>
      <c r="C2412" s="1640">
        <v>301</v>
      </c>
      <c r="D2412" s="1640">
        <v>267948.107257978</v>
      </c>
      <c r="E2412" s="1641">
        <v>64350.275891651901</v>
      </c>
      <c r="F2412" s="1642">
        <v>3.92421728934886</v>
      </c>
      <c r="G2412" s="1643">
        <v>0.94243795118604701</v>
      </c>
    </row>
    <row r="2413" spans="1:7" x14ac:dyDescent="0.25">
      <c r="A2413" s="11" t="s">
        <v>6293</v>
      </c>
      <c r="B2413" s="11" t="s">
        <v>6295</v>
      </c>
      <c r="C2413" s="1644">
        <v>6081</v>
      </c>
      <c r="D2413" s="1644">
        <v>6828065.0000000102</v>
      </c>
      <c r="E2413" s="1645">
        <v>0</v>
      </c>
      <c r="F2413" s="1646">
        <v>100</v>
      </c>
      <c r="G2413" s="1647">
        <v>0</v>
      </c>
    </row>
    <row r="2414" spans="1:7" x14ac:dyDescent="0.25">
      <c r="A2414" s="3353" t="s">
        <v>879</v>
      </c>
      <c r="B2414" s="3354"/>
      <c r="C2414" s="3354"/>
      <c r="D2414" s="3354"/>
      <c r="E2414" s="3354"/>
      <c r="F2414" s="3354"/>
      <c r="G2414" s="3354"/>
    </row>
    <row r="2415" spans="1:7" x14ac:dyDescent="0.25">
      <c r="A2415" s="11" t="s">
        <v>984</v>
      </c>
      <c r="B2415" s="11" t="s">
        <v>3249</v>
      </c>
      <c r="C2415" s="1652">
        <v>258</v>
      </c>
      <c r="D2415" s="1652">
        <v>202203.28676303499</v>
      </c>
      <c r="E2415" s="1653">
        <v>29282.988028066298</v>
      </c>
      <c r="F2415" s="1654">
        <v>100</v>
      </c>
      <c r="G2415" s="1655">
        <v>0</v>
      </c>
    </row>
    <row r="2416" spans="1:7" x14ac:dyDescent="0.25">
      <c r="A2416" s="6" t="s">
        <v>982</v>
      </c>
      <c r="B2416" s="6" t="s">
        <v>983</v>
      </c>
      <c r="C2416" s="1648">
        <v>5822</v>
      </c>
      <c r="D2416" s="1648">
        <v>6625837.2975695096</v>
      </c>
      <c r="E2416" s="1649">
        <v>29296.128324309</v>
      </c>
      <c r="F2416" s="1650">
        <v>99.9996315095526</v>
      </c>
      <c r="G2416" s="1651">
        <v>3.8133334714647398E-4</v>
      </c>
    </row>
    <row r="2417" spans="1:7" x14ac:dyDescent="0.25">
      <c r="A2417" s="11" t="s">
        <v>996</v>
      </c>
      <c r="B2417" s="11" t="s">
        <v>997</v>
      </c>
      <c r="C2417" s="1652">
        <v>1</v>
      </c>
      <c r="D2417" s="1652">
        <v>24.415667470007801</v>
      </c>
      <c r="E2417" s="1653">
        <v>25.258237333140801</v>
      </c>
      <c r="F2417" s="1654">
        <v>3.6849044738182198E-4</v>
      </c>
      <c r="G2417" s="1655">
        <v>3.81333347145542E-4</v>
      </c>
    </row>
    <row r="2418" spans="1:7" x14ac:dyDescent="0.25">
      <c r="A2418" s="6" t="s">
        <v>6293</v>
      </c>
      <c r="B2418" s="6" t="s">
        <v>6294</v>
      </c>
      <c r="C2418" s="1648">
        <v>258</v>
      </c>
      <c r="D2418" s="1648">
        <v>202203.28676303499</v>
      </c>
      <c r="E2418" s="1649">
        <v>29282.988028066298</v>
      </c>
      <c r="F2418" s="1650">
        <v>2.9613556221716499</v>
      </c>
      <c r="G2418" s="1651">
        <v>0.42886217439444702</v>
      </c>
    </row>
    <row r="2419" spans="1:7" x14ac:dyDescent="0.25">
      <c r="A2419" s="11" t="s">
        <v>6293</v>
      </c>
      <c r="B2419" s="11" t="s">
        <v>6295</v>
      </c>
      <c r="C2419" s="1652">
        <v>6081</v>
      </c>
      <c r="D2419" s="1652">
        <v>6828065.0000000102</v>
      </c>
      <c r="E2419" s="1653">
        <v>0</v>
      </c>
      <c r="F2419" s="1654">
        <v>100</v>
      </c>
      <c r="G2419" s="1655">
        <v>0</v>
      </c>
    </row>
    <row r="2420" spans="1:7" x14ac:dyDescent="0.25">
      <c r="A2420" s="3353" t="s">
        <v>958</v>
      </c>
      <c r="B2420" s="3354"/>
      <c r="C2420" s="3354"/>
      <c r="D2420" s="3354"/>
      <c r="E2420" s="3354"/>
      <c r="F2420" s="3354"/>
      <c r="G2420" s="3354"/>
    </row>
    <row r="2421" spans="1:7" x14ac:dyDescent="0.25">
      <c r="A2421" s="11" t="s">
        <v>986</v>
      </c>
      <c r="B2421" s="11" t="s">
        <v>3250</v>
      </c>
      <c r="C2421" s="1660">
        <v>194</v>
      </c>
      <c r="D2421" s="1660">
        <v>145836.19339291699</v>
      </c>
      <c r="E2421" s="1661">
        <v>22001.065656352799</v>
      </c>
      <c r="F2421" s="1662">
        <v>100</v>
      </c>
      <c r="G2421" s="1663">
        <v>0</v>
      </c>
    </row>
    <row r="2422" spans="1:7" x14ac:dyDescent="0.25">
      <c r="A2422" s="6" t="s">
        <v>982</v>
      </c>
      <c r="B2422" s="6" t="s">
        <v>983</v>
      </c>
      <c r="C2422" s="1656">
        <v>5886</v>
      </c>
      <c r="D2422" s="1656">
        <v>6682204.3909396296</v>
      </c>
      <c r="E2422" s="1657">
        <v>22000.3819904214</v>
      </c>
      <c r="F2422" s="1658">
        <v>99.999634617907006</v>
      </c>
      <c r="G2422" s="1659">
        <v>3.7798418045699098E-4</v>
      </c>
    </row>
    <row r="2423" spans="1:7" x14ac:dyDescent="0.25">
      <c r="A2423" s="11" t="s">
        <v>996</v>
      </c>
      <c r="B2423" s="11" t="s">
        <v>997</v>
      </c>
      <c r="C2423" s="1660">
        <v>1</v>
      </c>
      <c r="D2423" s="1660">
        <v>24.415667470007801</v>
      </c>
      <c r="E2423" s="1661">
        <v>25.258237333140801</v>
      </c>
      <c r="F2423" s="1662">
        <v>3.6538209296076E-4</v>
      </c>
      <c r="G2423" s="1663">
        <v>3.7798418045640198E-4</v>
      </c>
    </row>
    <row r="2424" spans="1:7" x14ac:dyDescent="0.25">
      <c r="A2424" s="6" t="s">
        <v>6293</v>
      </c>
      <c r="B2424" s="6" t="s">
        <v>6294</v>
      </c>
      <c r="C2424" s="1656">
        <v>194</v>
      </c>
      <c r="D2424" s="1656">
        <v>145836.19339291699</v>
      </c>
      <c r="E2424" s="1657">
        <v>22001.065656352799</v>
      </c>
      <c r="F2424" s="1658">
        <v>2.1358348725871301</v>
      </c>
      <c r="G2424" s="1659">
        <v>0.32221523457015899</v>
      </c>
    </row>
    <row r="2425" spans="1:7" x14ac:dyDescent="0.25">
      <c r="A2425" s="11" t="s">
        <v>6293</v>
      </c>
      <c r="B2425" s="11" t="s">
        <v>6295</v>
      </c>
      <c r="C2425" s="1660">
        <v>6081</v>
      </c>
      <c r="D2425" s="1660">
        <v>6828065.0000000102</v>
      </c>
      <c r="E2425" s="1661">
        <v>0</v>
      </c>
      <c r="F2425" s="1662">
        <v>100</v>
      </c>
      <c r="G2425" s="1663">
        <v>0</v>
      </c>
    </row>
    <row r="2426" spans="1:7" x14ac:dyDescent="0.25">
      <c r="A2426" s="3353" t="s">
        <v>956</v>
      </c>
      <c r="B2426" s="3354"/>
      <c r="C2426" s="3354"/>
      <c r="D2426" s="3354"/>
      <c r="E2426" s="3354"/>
      <c r="F2426" s="3354"/>
      <c r="G2426" s="3354"/>
    </row>
    <row r="2427" spans="1:7" x14ac:dyDescent="0.25">
      <c r="A2427" s="11" t="s">
        <v>988</v>
      </c>
      <c r="B2427" s="11" t="s">
        <v>3251</v>
      </c>
      <c r="C2427" s="1668">
        <v>6</v>
      </c>
      <c r="D2427" s="1668">
        <v>480.12901755665001</v>
      </c>
      <c r="E2427" s="1669">
        <v>266.36537490283501</v>
      </c>
      <c r="F2427" s="1670">
        <v>100</v>
      </c>
      <c r="G2427" s="1671">
        <v>0</v>
      </c>
    </row>
    <row r="2428" spans="1:7" x14ac:dyDescent="0.25">
      <c r="A2428" s="6" t="s">
        <v>982</v>
      </c>
      <c r="B2428" s="6" t="s">
        <v>983</v>
      </c>
      <c r="C2428" s="1664">
        <v>6074</v>
      </c>
      <c r="D2428" s="1664">
        <v>6827560.4553149901</v>
      </c>
      <c r="E2428" s="1665">
        <v>287.89952483053798</v>
      </c>
      <c r="F2428" s="1666">
        <v>99.999642396719594</v>
      </c>
      <c r="G2428" s="1667">
        <v>3.69946065947613E-4</v>
      </c>
    </row>
    <row r="2429" spans="1:7" x14ac:dyDescent="0.25">
      <c r="A2429" s="11" t="s">
        <v>996</v>
      </c>
      <c r="B2429" s="11" t="s">
        <v>997</v>
      </c>
      <c r="C2429" s="1668">
        <v>1</v>
      </c>
      <c r="D2429" s="1668">
        <v>24.415667470007801</v>
      </c>
      <c r="E2429" s="1669">
        <v>25.258237333140801</v>
      </c>
      <c r="F2429" s="1670">
        <v>3.5760328038946101E-4</v>
      </c>
      <c r="G2429" s="1671">
        <v>3.6994606594459902E-4</v>
      </c>
    </row>
    <row r="2430" spans="1:7" x14ac:dyDescent="0.25">
      <c r="A2430" s="6" t="s">
        <v>6293</v>
      </c>
      <c r="B2430" s="6" t="s">
        <v>6294</v>
      </c>
      <c r="C2430" s="1664">
        <v>6</v>
      </c>
      <c r="D2430" s="1664">
        <v>480.12901755665001</v>
      </c>
      <c r="E2430" s="1665">
        <v>266.36537490283501</v>
      </c>
      <c r="F2430" s="1666">
        <v>7.0316995745741797E-3</v>
      </c>
      <c r="G2430" s="1667">
        <v>3.9010374813777198E-3</v>
      </c>
    </row>
    <row r="2431" spans="1:7" x14ac:dyDescent="0.25">
      <c r="A2431" s="11" t="s">
        <v>6293</v>
      </c>
      <c r="B2431" s="11" t="s">
        <v>6295</v>
      </c>
      <c r="C2431" s="1668">
        <v>6081</v>
      </c>
      <c r="D2431" s="1668">
        <v>6828065.0000000102</v>
      </c>
      <c r="E2431" s="1669">
        <v>0</v>
      </c>
      <c r="F2431" s="1670">
        <v>100</v>
      </c>
      <c r="G2431" s="1671">
        <v>0</v>
      </c>
    </row>
    <row r="2432" spans="1:7" x14ac:dyDescent="0.25">
      <c r="A2432" s="3353" t="s">
        <v>885</v>
      </c>
      <c r="B2432" s="3354"/>
      <c r="C2432" s="3354"/>
      <c r="D2432" s="3354"/>
      <c r="E2432" s="3354"/>
      <c r="F2432" s="3354"/>
      <c r="G2432" s="3354"/>
    </row>
    <row r="2433" spans="1:7" x14ac:dyDescent="0.25">
      <c r="A2433" s="11" t="s">
        <v>990</v>
      </c>
      <c r="B2433" s="11" t="s">
        <v>3252</v>
      </c>
      <c r="C2433" s="1676">
        <v>9</v>
      </c>
      <c r="D2433" s="1676">
        <v>4422.1662499600898</v>
      </c>
      <c r="E2433" s="1677">
        <v>3997.91571313031</v>
      </c>
      <c r="F2433" s="1678">
        <v>100</v>
      </c>
      <c r="G2433" s="1679">
        <v>0</v>
      </c>
    </row>
    <row r="2434" spans="1:7" x14ac:dyDescent="0.25">
      <c r="A2434" s="6" t="s">
        <v>982</v>
      </c>
      <c r="B2434" s="6" t="s">
        <v>983</v>
      </c>
      <c r="C2434" s="1672">
        <v>6071</v>
      </c>
      <c r="D2434" s="1672">
        <v>6823618.41808258</v>
      </c>
      <c r="E2434" s="1673">
        <v>3988.2724274562802</v>
      </c>
      <c r="F2434" s="1674">
        <v>99.999642190131198</v>
      </c>
      <c r="G2434" s="1675">
        <v>3.70088905357121E-4</v>
      </c>
    </row>
    <row r="2435" spans="1:7" x14ac:dyDescent="0.25">
      <c r="A2435" s="11" t="s">
        <v>996</v>
      </c>
      <c r="B2435" s="11" t="s">
        <v>997</v>
      </c>
      <c r="C2435" s="1676">
        <v>1</v>
      </c>
      <c r="D2435" s="1676">
        <v>24.415667470007801</v>
      </c>
      <c r="E2435" s="1677">
        <v>25.258237333140801</v>
      </c>
      <c r="F2435" s="1678">
        <v>3.5780986878807301E-4</v>
      </c>
      <c r="G2435" s="1679">
        <v>3.70088905355203E-4</v>
      </c>
    </row>
    <row r="2436" spans="1:7" x14ac:dyDescent="0.25">
      <c r="A2436" s="6" t="s">
        <v>6293</v>
      </c>
      <c r="B2436" s="6" t="s">
        <v>6294</v>
      </c>
      <c r="C2436" s="1672">
        <v>9</v>
      </c>
      <c r="D2436" s="1672">
        <v>4422.1662499600898</v>
      </c>
      <c r="E2436" s="1673">
        <v>3997.91571313031</v>
      </c>
      <c r="F2436" s="1674">
        <v>6.4764559944290007E-2</v>
      </c>
      <c r="G2436" s="1675">
        <v>5.8551225173315E-2</v>
      </c>
    </row>
    <row r="2437" spans="1:7" x14ac:dyDescent="0.25">
      <c r="A2437" s="11" t="s">
        <v>6293</v>
      </c>
      <c r="B2437" s="11" t="s">
        <v>6295</v>
      </c>
      <c r="C2437" s="1676">
        <v>6081</v>
      </c>
      <c r="D2437" s="1676">
        <v>6828065.0000000102</v>
      </c>
      <c r="E2437" s="1677">
        <v>0</v>
      </c>
      <c r="F2437" s="1678">
        <v>100</v>
      </c>
      <c r="G2437" s="1679">
        <v>0</v>
      </c>
    </row>
    <row r="2438" spans="1:7" x14ac:dyDescent="0.25">
      <c r="A2438" s="3353" t="s">
        <v>883</v>
      </c>
      <c r="B2438" s="3354"/>
      <c r="C2438" s="3354"/>
      <c r="D2438" s="3354"/>
      <c r="E2438" s="3354"/>
      <c r="F2438" s="3354"/>
      <c r="G2438" s="3354"/>
    </row>
    <row r="2439" spans="1:7" x14ac:dyDescent="0.25">
      <c r="A2439" s="11" t="s">
        <v>992</v>
      </c>
      <c r="B2439" s="11" t="s">
        <v>3253</v>
      </c>
      <c r="C2439" s="1684">
        <v>15</v>
      </c>
      <c r="D2439" s="1684">
        <v>11413.0235524774</v>
      </c>
      <c r="E2439" s="1685">
        <v>5225.9630005701001</v>
      </c>
      <c r="F2439" s="1686">
        <v>100</v>
      </c>
      <c r="G2439" s="1687">
        <v>0</v>
      </c>
    </row>
    <row r="2440" spans="1:7" x14ac:dyDescent="0.25">
      <c r="A2440" s="6" t="s">
        <v>982</v>
      </c>
      <c r="B2440" s="6" t="s">
        <v>983</v>
      </c>
      <c r="C2440" s="1680">
        <v>6065</v>
      </c>
      <c r="D2440" s="1680">
        <v>6816627.5607800698</v>
      </c>
      <c r="E2440" s="1681">
        <v>5224.29263045888</v>
      </c>
      <c r="F2440" s="1682">
        <v>99.9996418231772</v>
      </c>
      <c r="G2440" s="1683">
        <v>3.7061221201699698E-4</v>
      </c>
    </row>
    <row r="2441" spans="1:7" x14ac:dyDescent="0.25">
      <c r="A2441" s="11" t="s">
        <v>996</v>
      </c>
      <c r="B2441" s="11" t="s">
        <v>997</v>
      </c>
      <c r="C2441" s="1684">
        <v>1</v>
      </c>
      <c r="D2441" s="1684">
        <v>24.415667470007801</v>
      </c>
      <c r="E2441" s="1685">
        <v>25.258237333140801</v>
      </c>
      <c r="F2441" s="1686">
        <v>3.58176822791706E-4</v>
      </c>
      <c r="G2441" s="1687">
        <v>3.7061221201757698E-4</v>
      </c>
    </row>
    <row r="2442" spans="1:7" x14ac:dyDescent="0.25">
      <c r="A2442" s="6" t="s">
        <v>6293</v>
      </c>
      <c r="B2442" s="6" t="s">
        <v>6294</v>
      </c>
      <c r="C2442" s="1680">
        <v>15</v>
      </c>
      <c r="D2442" s="1680">
        <v>11413.0235524774</v>
      </c>
      <c r="E2442" s="1681">
        <v>5225.9630005701001</v>
      </c>
      <c r="F2442" s="1682">
        <v>0.16714872445527901</v>
      </c>
      <c r="G2442" s="1683">
        <v>7.6536515111823494E-2</v>
      </c>
    </row>
    <row r="2443" spans="1:7" x14ac:dyDescent="0.25">
      <c r="A2443" s="11" t="s">
        <v>6293</v>
      </c>
      <c r="B2443" s="11" t="s">
        <v>6295</v>
      </c>
      <c r="C2443" s="1684">
        <v>6081</v>
      </c>
      <c r="D2443" s="1684">
        <v>6828065.0000000102</v>
      </c>
      <c r="E2443" s="1685">
        <v>0</v>
      </c>
      <c r="F2443" s="1686">
        <v>100</v>
      </c>
      <c r="G2443" s="1687">
        <v>0</v>
      </c>
    </row>
    <row r="2444" spans="1:7" x14ac:dyDescent="0.25">
      <c r="A2444" s="3353" t="s">
        <v>954</v>
      </c>
      <c r="B2444" s="3354"/>
      <c r="C2444" s="3354"/>
      <c r="D2444" s="3354"/>
      <c r="E2444" s="3354"/>
      <c r="F2444" s="3354"/>
      <c r="G2444" s="3354"/>
    </row>
    <row r="2445" spans="1:7" x14ac:dyDescent="0.25">
      <c r="A2445" s="11" t="s">
        <v>994</v>
      </c>
      <c r="B2445" s="11" t="s">
        <v>3254</v>
      </c>
      <c r="C2445" s="1692">
        <v>56</v>
      </c>
      <c r="D2445" s="1692">
        <v>23700.728263962199</v>
      </c>
      <c r="E2445" s="1693">
        <v>6029.4845487459597</v>
      </c>
      <c r="F2445" s="1694">
        <v>100</v>
      </c>
      <c r="G2445" s="1695">
        <v>0</v>
      </c>
    </row>
    <row r="2446" spans="1:7" x14ac:dyDescent="0.25">
      <c r="A2446" s="6" t="s">
        <v>982</v>
      </c>
      <c r="B2446" s="6" t="s">
        <v>983</v>
      </c>
      <c r="C2446" s="1688">
        <v>6024</v>
      </c>
      <c r="D2446" s="1688">
        <v>6804339.8560685804</v>
      </c>
      <c r="E2446" s="1689">
        <v>6020.4908694697597</v>
      </c>
      <c r="F2446" s="1690">
        <v>99.999641176361294</v>
      </c>
      <c r="G2446" s="1691">
        <v>3.7118731969448598E-4</v>
      </c>
    </row>
    <row r="2447" spans="1:7" x14ac:dyDescent="0.25">
      <c r="A2447" s="11" t="s">
        <v>996</v>
      </c>
      <c r="B2447" s="11" t="s">
        <v>997</v>
      </c>
      <c r="C2447" s="1692">
        <v>1</v>
      </c>
      <c r="D2447" s="1692">
        <v>24.415667470007801</v>
      </c>
      <c r="E2447" s="1693">
        <v>25.258237333140801</v>
      </c>
      <c r="F2447" s="1694">
        <v>3.5882363869649801E-4</v>
      </c>
      <c r="G2447" s="1695">
        <v>3.7118731969408201E-4</v>
      </c>
    </row>
    <row r="2448" spans="1:7" x14ac:dyDescent="0.25">
      <c r="A2448" s="6" t="s">
        <v>6293</v>
      </c>
      <c r="B2448" s="6" t="s">
        <v>6294</v>
      </c>
      <c r="C2448" s="1688">
        <v>56</v>
      </c>
      <c r="D2448" s="1688">
        <v>23700.728263962199</v>
      </c>
      <c r="E2448" s="1689">
        <v>6029.4845487459597</v>
      </c>
      <c r="F2448" s="1690">
        <v>0.34710753725926902</v>
      </c>
      <c r="G2448" s="1691">
        <v>8.8304439819274799E-2</v>
      </c>
    </row>
    <row r="2449" spans="1:7" x14ac:dyDescent="0.25">
      <c r="A2449" s="11" t="s">
        <v>6293</v>
      </c>
      <c r="B2449" s="11" t="s">
        <v>6295</v>
      </c>
      <c r="C2449" s="1692">
        <v>6081</v>
      </c>
      <c r="D2449" s="1692">
        <v>6828065.0000000102</v>
      </c>
      <c r="E2449" s="1693">
        <v>0</v>
      </c>
      <c r="F2449" s="1694">
        <v>100</v>
      </c>
      <c r="G2449" s="1695">
        <v>0</v>
      </c>
    </row>
    <row r="2450" spans="1:7" x14ac:dyDescent="0.25">
      <c r="A2450" s="3353" t="s">
        <v>881</v>
      </c>
      <c r="B2450" s="3354"/>
      <c r="C2450" s="3354"/>
      <c r="D2450" s="3354"/>
      <c r="E2450" s="3354"/>
      <c r="F2450" s="3354"/>
      <c r="G2450" s="3354"/>
    </row>
    <row r="2451" spans="1:7" x14ac:dyDescent="0.25">
      <c r="A2451" s="11" t="s">
        <v>1003</v>
      </c>
      <c r="B2451" s="11" t="s">
        <v>3255</v>
      </c>
      <c r="C2451" s="1700">
        <v>73</v>
      </c>
      <c r="D2451" s="1700">
        <v>76299.513877968406</v>
      </c>
      <c r="E2451" s="1701">
        <v>19906.322758955099</v>
      </c>
      <c r="F2451" s="1702">
        <v>100</v>
      </c>
      <c r="G2451" s="1703">
        <v>0</v>
      </c>
    </row>
    <row r="2452" spans="1:7" x14ac:dyDescent="0.25">
      <c r="A2452" s="6" t="s">
        <v>982</v>
      </c>
      <c r="B2452" s="6" t="s">
        <v>983</v>
      </c>
      <c r="C2452" s="1696">
        <v>6007</v>
      </c>
      <c r="D2452" s="1696">
        <v>6751741.0704545798</v>
      </c>
      <c r="E2452" s="1697">
        <v>19895.756514479501</v>
      </c>
      <c r="F2452" s="1698">
        <v>99.999638380990604</v>
      </c>
      <c r="G2452" s="1699">
        <v>3.74037717651401E-4</v>
      </c>
    </row>
    <row r="2453" spans="1:7" x14ac:dyDescent="0.25">
      <c r="A2453" s="11" t="s">
        <v>996</v>
      </c>
      <c r="B2453" s="11" t="s">
        <v>997</v>
      </c>
      <c r="C2453" s="1700">
        <v>1</v>
      </c>
      <c r="D2453" s="1700">
        <v>24.415667470007801</v>
      </c>
      <c r="E2453" s="1701">
        <v>25.258237333140801</v>
      </c>
      <c r="F2453" s="1702">
        <v>3.6161900943083901E-4</v>
      </c>
      <c r="G2453" s="1703">
        <v>3.74037717650519E-4</v>
      </c>
    </row>
    <row r="2454" spans="1:7" x14ac:dyDescent="0.25">
      <c r="A2454" s="6" t="s">
        <v>6293</v>
      </c>
      <c r="B2454" s="6" t="s">
        <v>6294</v>
      </c>
      <c r="C2454" s="1696">
        <v>73</v>
      </c>
      <c r="D2454" s="1696">
        <v>76299.513877968406</v>
      </c>
      <c r="E2454" s="1697">
        <v>19906.322758955099</v>
      </c>
      <c r="F2454" s="1698">
        <v>1.11743977068127</v>
      </c>
      <c r="G2454" s="1699">
        <v>0.29153680814338001</v>
      </c>
    </row>
    <row r="2455" spans="1:7" x14ac:dyDescent="0.25">
      <c r="A2455" s="11" t="s">
        <v>6293</v>
      </c>
      <c r="B2455" s="11" t="s">
        <v>6295</v>
      </c>
      <c r="C2455" s="1700">
        <v>6081</v>
      </c>
      <c r="D2455" s="1700">
        <v>6828065.0000000196</v>
      </c>
      <c r="E2455" s="1701">
        <v>0</v>
      </c>
      <c r="F2455" s="1702">
        <v>100</v>
      </c>
      <c r="G2455" s="1703">
        <v>0</v>
      </c>
    </row>
    <row r="2456" spans="1:7" x14ac:dyDescent="0.25">
      <c r="A2456" s="3353" t="s">
        <v>926</v>
      </c>
      <c r="B2456" s="3354"/>
      <c r="C2456" s="3354"/>
      <c r="D2456" s="3354"/>
      <c r="E2456" s="3354"/>
      <c r="F2456" s="3354"/>
      <c r="G2456" s="3354"/>
    </row>
    <row r="2457" spans="1:7" x14ac:dyDescent="0.25">
      <c r="A2457" s="11" t="s">
        <v>1013</v>
      </c>
      <c r="B2457" s="11" t="s">
        <v>3256</v>
      </c>
      <c r="C2457" s="1708">
        <v>29</v>
      </c>
      <c r="D2457" s="1708">
        <v>32366.9019873836</v>
      </c>
      <c r="E2457" s="1709">
        <v>13936.301149298601</v>
      </c>
      <c r="F2457" s="1710">
        <v>100</v>
      </c>
      <c r="G2457" s="1711">
        <v>0</v>
      </c>
    </row>
    <row r="2458" spans="1:7" x14ac:dyDescent="0.25">
      <c r="A2458" s="6" t="s">
        <v>982</v>
      </c>
      <c r="B2458" s="6" t="s">
        <v>983</v>
      </c>
      <c r="C2458" s="1704">
        <v>6051</v>
      </c>
      <c r="D2458" s="1704">
        <v>6795673.6823451603</v>
      </c>
      <c r="E2458" s="1705">
        <v>13933.36914431</v>
      </c>
      <c r="F2458" s="1706">
        <v>99.999640718773605</v>
      </c>
      <c r="G2458" s="1707">
        <v>3.7170188194146202E-4</v>
      </c>
    </row>
    <row r="2459" spans="1:7" x14ac:dyDescent="0.25">
      <c r="A2459" s="11" t="s">
        <v>996</v>
      </c>
      <c r="B2459" s="11" t="s">
        <v>997</v>
      </c>
      <c r="C2459" s="1708">
        <v>1</v>
      </c>
      <c r="D2459" s="1708">
        <v>24.415667470007801</v>
      </c>
      <c r="E2459" s="1709">
        <v>25.258237333140801</v>
      </c>
      <c r="F2459" s="1710">
        <v>3.5928122641510599E-4</v>
      </c>
      <c r="G2459" s="1711">
        <v>3.7170188194036899E-4</v>
      </c>
    </row>
    <row r="2460" spans="1:7" x14ac:dyDescent="0.25">
      <c r="A2460" s="6" t="s">
        <v>6293</v>
      </c>
      <c r="B2460" s="6" t="s">
        <v>6294</v>
      </c>
      <c r="C2460" s="1704">
        <v>29</v>
      </c>
      <c r="D2460" s="1704">
        <v>32366.9019873836</v>
      </c>
      <c r="E2460" s="1705">
        <v>13936.301149298601</v>
      </c>
      <c r="F2460" s="1706">
        <v>0.474027443900776</v>
      </c>
      <c r="G2460" s="1707">
        <v>0.20410322908903999</v>
      </c>
    </row>
    <row r="2461" spans="1:7" x14ac:dyDescent="0.25">
      <c r="A2461" s="11" t="s">
        <v>6293</v>
      </c>
      <c r="B2461" s="11" t="s">
        <v>6295</v>
      </c>
      <c r="C2461" s="1708">
        <v>6081</v>
      </c>
      <c r="D2461" s="1708">
        <v>6828065.0000000196</v>
      </c>
      <c r="E2461" s="1709">
        <v>0</v>
      </c>
      <c r="F2461" s="1710">
        <v>100</v>
      </c>
      <c r="G2461" s="1711">
        <v>0</v>
      </c>
    </row>
    <row r="2462" spans="1:7" x14ac:dyDescent="0.25">
      <c r="A2462" s="3353" t="s">
        <v>386</v>
      </c>
      <c r="B2462" s="3354"/>
      <c r="C2462" s="3354"/>
      <c r="D2462" s="3354"/>
      <c r="E2462" s="3354"/>
      <c r="F2462" s="3354"/>
      <c r="G2462" s="3354"/>
    </row>
    <row r="2463" spans="1:7" x14ac:dyDescent="0.25">
      <c r="A2463" s="11" t="s">
        <v>1005</v>
      </c>
      <c r="B2463" s="11" t="s">
        <v>1037</v>
      </c>
      <c r="C2463" s="1716">
        <v>37</v>
      </c>
      <c r="D2463" s="1716">
        <v>41797.022589299799</v>
      </c>
      <c r="E2463" s="1717">
        <v>16126.595968316</v>
      </c>
      <c r="F2463" s="1718">
        <v>100</v>
      </c>
      <c r="G2463" s="1719">
        <v>0</v>
      </c>
    </row>
    <row r="2464" spans="1:7" x14ac:dyDescent="0.25">
      <c r="A2464" s="6" t="s">
        <v>982</v>
      </c>
      <c r="B2464" s="6" t="s">
        <v>983</v>
      </c>
      <c r="C2464" s="1712">
        <v>6043</v>
      </c>
      <c r="D2464" s="1712">
        <v>6786243.5617432399</v>
      </c>
      <c r="E2464" s="1713">
        <v>16113.2372876633</v>
      </c>
      <c r="F2464" s="1714">
        <v>99.999640219520501</v>
      </c>
      <c r="G2464" s="1715">
        <v>3.7193593207726899E-4</v>
      </c>
    </row>
    <row r="2465" spans="1:7" x14ac:dyDescent="0.25">
      <c r="A2465" s="11" t="s">
        <v>996</v>
      </c>
      <c r="B2465" s="11" t="s">
        <v>997</v>
      </c>
      <c r="C2465" s="1716">
        <v>1</v>
      </c>
      <c r="D2465" s="1716">
        <v>24.415667470007801</v>
      </c>
      <c r="E2465" s="1717">
        <v>25.258237333140801</v>
      </c>
      <c r="F2465" s="1718">
        <v>3.5978047951067702E-4</v>
      </c>
      <c r="G2465" s="1719">
        <v>3.7193593207467601E-4</v>
      </c>
    </row>
    <row r="2466" spans="1:7" x14ac:dyDescent="0.25">
      <c r="A2466" s="6" t="s">
        <v>6293</v>
      </c>
      <c r="B2466" s="6" t="s">
        <v>6294</v>
      </c>
      <c r="C2466" s="1712">
        <v>37</v>
      </c>
      <c r="D2466" s="1712">
        <v>41797.022589299799</v>
      </c>
      <c r="E2466" s="1713">
        <v>16126.595968316</v>
      </c>
      <c r="F2466" s="1714">
        <v>0.612135686893721</v>
      </c>
      <c r="G2466" s="1715">
        <v>0.23618105522305299</v>
      </c>
    </row>
    <row r="2467" spans="1:7" x14ac:dyDescent="0.25">
      <c r="A2467" s="11" t="s">
        <v>6293</v>
      </c>
      <c r="B2467" s="11" t="s">
        <v>6295</v>
      </c>
      <c r="C2467" s="1716">
        <v>6081</v>
      </c>
      <c r="D2467" s="1716">
        <v>6828065.0000000102</v>
      </c>
      <c r="E2467" s="1717">
        <v>0</v>
      </c>
      <c r="F2467" s="1718">
        <v>100</v>
      </c>
      <c r="G2467" s="1719">
        <v>0</v>
      </c>
    </row>
    <row r="2468" spans="1:7" x14ac:dyDescent="0.25">
      <c r="A2468" s="3353" t="s">
        <v>389</v>
      </c>
      <c r="B2468" s="3354"/>
      <c r="C2468" s="3354"/>
      <c r="D2468" s="3354"/>
      <c r="E2468" s="3354"/>
      <c r="F2468" s="3354"/>
      <c r="G2468" s="3354"/>
    </row>
    <row r="2469" spans="1:7" x14ac:dyDescent="0.25">
      <c r="A2469" s="11" t="s">
        <v>6585</v>
      </c>
      <c r="B2469" s="11"/>
      <c r="C2469" s="1724">
        <v>15</v>
      </c>
      <c r="D2469" s="1724">
        <v>8804.1044732676401</v>
      </c>
      <c r="E2469" s="1725">
        <v>4602.9875770618</v>
      </c>
      <c r="F2469" s="1726">
        <v>42.490839958274101</v>
      </c>
      <c r="G2469" s="1727">
        <v>20.452921449363899</v>
      </c>
    </row>
    <row r="2470" spans="1:7" x14ac:dyDescent="0.25">
      <c r="A2470" s="6" t="s">
        <v>6586</v>
      </c>
      <c r="B2470" s="6"/>
      <c r="C2470" s="1720">
        <v>5</v>
      </c>
      <c r="D2470" s="1720">
        <v>7246.6153282991299</v>
      </c>
      <c r="E2470" s="1721">
        <v>6445.6509268850796</v>
      </c>
      <c r="F2470" s="1722">
        <v>34.974002533576503</v>
      </c>
      <c r="G2470" s="1723">
        <v>28.482246736129198</v>
      </c>
    </row>
    <row r="2471" spans="1:7" x14ac:dyDescent="0.25">
      <c r="A2471" s="11" t="s">
        <v>6587</v>
      </c>
      <c r="B2471" s="11"/>
      <c r="C2471" s="1724">
        <v>2</v>
      </c>
      <c r="D2471" s="1724">
        <v>4632.8762152838899</v>
      </c>
      <c r="E2471" s="1725">
        <v>4778.7867599136498</v>
      </c>
      <c r="F2471" s="1726">
        <v>22.359435012140398</v>
      </c>
      <c r="G2471" s="1727">
        <v>34.764410127735303</v>
      </c>
    </row>
    <row r="2472" spans="1:7" x14ac:dyDescent="0.25">
      <c r="A2472" s="6" t="s">
        <v>6588</v>
      </c>
      <c r="B2472" s="6"/>
      <c r="C2472" s="1720">
        <v>2</v>
      </c>
      <c r="D2472" s="1720">
        <v>36.409711238601098</v>
      </c>
      <c r="E2472" s="1721">
        <v>37.891608325492697</v>
      </c>
      <c r="F2472" s="1722">
        <v>0.17572249600897499</v>
      </c>
      <c r="G2472" s="1723">
        <v>0.225556165877625</v>
      </c>
    </row>
    <row r="2473" spans="1:7" x14ac:dyDescent="0.25">
      <c r="A2473" s="11" t="s">
        <v>982</v>
      </c>
      <c r="B2473" s="11" t="s">
        <v>983</v>
      </c>
      <c r="C2473" s="1724">
        <v>6044</v>
      </c>
      <c r="D2473" s="1724">
        <v>6786267.9774107197</v>
      </c>
      <c r="E2473" s="1725">
        <v>16126.5959683081</v>
      </c>
      <c r="F2473" s="1726">
        <v>99.690378306388993</v>
      </c>
      <c r="G2473" s="1727">
        <v>0.192812994409162</v>
      </c>
    </row>
    <row r="2474" spans="1:7" x14ac:dyDescent="0.25">
      <c r="A2474" s="6" t="s">
        <v>996</v>
      </c>
      <c r="B2474" s="6"/>
      <c r="C2474" s="1720">
        <v>13</v>
      </c>
      <c r="D2474" s="1720">
        <v>21077.016861210599</v>
      </c>
      <c r="E2474" s="1721">
        <v>13126.2000905642</v>
      </c>
      <c r="F2474" s="1722">
        <v>0.30962169361103198</v>
      </c>
      <c r="G2474" s="1723">
        <v>0.19281299440917099</v>
      </c>
    </row>
    <row r="2475" spans="1:7" x14ac:dyDescent="0.25">
      <c r="A2475" s="11" t="s">
        <v>6293</v>
      </c>
      <c r="B2475" s="11" t="s">
        <v>6294</v>
      </c>
      <c r="C2475" s="1724">
        <v>24</v>
      </c>
      <c r="D2475" s="1724">
        <v>20720.005728089302</v>
      </c>
      <c r="E2475" s="1725">
        <v>9174.00193228848</v>
      </c>
      <c r="F2475" s="1726">
        <v>0.30345355130757001</v>
      </c>
      <c r="G2475" s="1727">
        <v>0.134357272994449</v>
      </c>
    </row>
    <row r="2476" spans="1:7" x14ac:dyDescent="0.25">
      <c r="A2476" s="6" t="s">
        <v>6293</v>
      </c>
      <c r="B2476" s="6" t="s">
        <v>6295</v>
      </c>
      <c r="C2476" s="1720">
        <v>6081</v>
      </c>
      <c r="D2476" s="1720">
        <v>6828065.0000000102</v>
      </c>
      <c r="E2476" s="1721">
        <v>0</v>
      </c>
      <c r="F2476" s="1722">
        <v>100</v>
      </c>
      <c r="G2476" s="1723">
        <v>0</v>
      </c>
    </row>
    <row r="2477" spans="1:7" x14ac:dyDescent="0.25">
      <c r="A2477" s="3353" t="s">
        <v>129</v>
      </c>
      <c r="B2477" s="3354"/>
      <c r="C2477" s="3354"/>
      <c r="D2477" s="3354"/>
      <c r="E2477" s="3354"/>
      <c r="F2477" s="3354"/>
      <c r="G2477" s="3354"/>
    </row>
    <row r="2478" spans="1:7" x14ac:dyDescent="0.25">
      <c r="A2478" s="11" t="s">
        <v>984</v>
      </c>
      <c r="B2478" s="11" t="s">
        <v>1146</v>
      </c>
      <c r="C2478" s="1732">
        <v>612</v>
      </c>
      <c r="D2478" s="1732">
        <v>438546.37332919298</v>
      </c>
      <c r="E2478" s="1733">
        <v>56511.029523700097</v>
      </c>
      <c r="F2478" s="1734">
        <v>100</v>
      </c>
      <c r="G2478" s="1735">
        <v>0</v>
      </c>
    </row>
    <row r="2479" spans="1:7" x14ac:dyDescent="0.25">
      <c r="A2479" s="6" t="s">
        <v>982</v>
      </c>
      <c r="B2479" s="6" t="s">
        <v>983</v>
      </c>
      <c r="C2479" s="1728">
        <v>5468</v>
      </c>
      <c r="D2479" s="1728">
        <v>6389440.0219066003</v>
      </c>
      <c r="E2479" s="1729">
        <v>56492.757179860499</v>
      </c>
      <c r="F2479" s="1730">
        <v>99.998769785819505</v>
      </c>
      <c r="G2479" s="1731">
        <v>1.24568771060759E-3</v>
      </c>
    </row>
    <row r="2480" spans="1:7" x14ac:dyDescent="0.25">
      <c r="A2480" s="11" t="s">
        <v>996</v>
      </c>
      <c r="B2480" s="11" t="s">
        <v>997</v>
      </c>
      <c r="C2480" s="1732">
        <v>1</v>
      </c>
      <c r="D2480" s="1732">
        <v>78.604764209433696</v>
      </c>
      <c r="E2480" s="1733">
        <v>79.597697200719196</v>
      </c>
      <c r="F2480" s="1734">
        <v>1.2302141804755901E-3</v>
      </c>
      <c r="G2480" s="1735">
        <v>1.2456877106068001E-3</v>
      </c>
    </row>
    <row r="2481" spans="1:7" x14ac:dyDescent="0.25">
      <c r="A2481" s="6" t="s">
        <v>6293</v>
      </c>
      <c r="B2481" s="6" t="s">
        <v>6294</v>
      </c>
      <c r="C2481" s="1728">
        <v>612</v>
      </c>
      <c r="D2481" s="1728">
        <v>438546.37332919298</v>
      </c>
      <c r="E2481" s="1729">
        <v>56511.029523700097</v>
      </c>
      <c r="F2481" s="1730">
        <v>6.4227035526052099</v>
      </c>
      <c r="G2481" s="1731">
        <v>0.82762875754257403</v>
      </c>
    </row>
    <row r="2482" spans="1:7" x14ac:dyDescent="0.25">
      <c r="A2482" s="11" t="s">
        <v>6293</v>
      </c>
      <c r="B2482" s="11" t="s">
        <v>6295</v>
      </c>
      <c r="C2482" s="1732">
        <v>6081</v>
      </c>
      <c r="D2482" s="1732">
        <v>6828065.0000000102</v>
      </c>
      <c r="E2482" s="1733">
        <v>0</v>
      </c>
      <c r="F2482" s="1734">
        <v>100</v>
      </c>
      <c r="G2482" s="1735">
        <v>0</v>
      </c>
    </row>
    <row r="2483" spans="1:7" x14ac:dyDescent="0.25">
      <c r="A2483" s="3353" t="s">
        <v>121</v>
      </c>
      <c r="B2483" s="3354"/>
      <c r="C2483" s="3354"/>
      <c r="D2483" s="3354"/>
      <c r="E2483" s="3354"/>
      <c r="F2483" s="3354"/>
      <c r="G2483" s="3354"/>
    </row>
    <row r="2484" spans="1:7" x14ac:dyDescent="0.25">
      <c r="A2484" s="11" t="s">
        <v>986</v>
      </c>
      <c r="B2484" s="11" t="s">
        <v>1147</v>
      </c>
      <c r="C2484" s="1740">
        <v>302</v>
      </c>
      <c r="D2484" s="1740">
        <v>273930.64742269</v>
      </c>
      <c r="E2484" s="1741">
        <v>31307.793826392401</v>
      </c>
      <c r="F2484" s="1742">
        <v>100</v>
      </c>
      <c r="G2484" s="1743">
        <v>0</v>
      </c>
    </row>
    <row r="2485" spans="1:7" x14ac:dyDescent="0.25">
      <c r="A2485" s="6" t="s">
        <v>982</v>
      </c>
      <c r="B2485" s="6" t="s">
        <v>983</v>
      </c>
      <c r="C2485" s="1736">
        <v>5778</v>
      </c>
      <c r="D2485" s="1736">
        <v>6554055.7478131102</v>
      </c>
      <c r="E2485" s="1737">
        <v>31299.852012810701</v>
      </c>
      <c r="F2485" s="1738">
        <v>99.998800684270705</v>
      </c>
      <c r="G2485" s="1739">
        <v>1.2151731601968501E-3</v>
      </c>
    </row>
    <row r="2486" spans="1:7" x14ac:dyDescent="0.25">
      <c r="A2486" s="11" t="s">
        <v>996</v>
      </c>
      <c r="B2486" s="11" t="s">
        <v>997</v>
      </c>
      <c r="C2486" s="1740">
        <v>1</v>
      </c>
      <c r="D2486" s="1740">
        <v>78.604764209433696</v>
      </c>
      <c r="E2486" s="1741">
        <v>79.597697200719196</v>
      </c>
      <c r="F2486" s="1742">
        <v>1.19931572929266E-3</v>
      </c>
      <c r="G2486" s="1743">
        <v>1.21517316019459E-3</v>
      </c>
    </row>
    <row r="2487" spans="1:7" x14ac:dyDescent="0.25">
      <c r="A2487" s="6" t="s">
        <v>6293</v>
      </c>
      <c r="B2487" s="6" t="s">
        <v>6294</v>
      </c>
      <c r="C2487" s="1736">
        <v>302</v>
      </c>
      <c r="D2487" s="1736">
        <v>273930.64742269</v>
      </c>
      <c r="E2487" s="1737">
        <v>31307.793826392401</v>
      </c>
      <c r="F2487" s="1738">
        <v>4.0118342081203</v>
      </c>
      <c r="G2487" s="1739">
        <v>0.458516341399686</v>
      </c>
    </row>
    <row r="2488" spans="1:7" x14ac:dyDescent="0.25">
      <c r="A2488" s="11" t="s">
        <v>6293</v>
      </c>
      <c r="B2488" s="11" t="s">
        <v>6295</v>
      </c>
      <c r="C2488" s="1740">
        <v>6081</v>
      </c>
      <c r="D2488" s="1740">
        <v>6828065.0000000102</v>
      </c>
      <c r="E2488" s="1741">
        <v>0</v>
      </c>
      <c r="F2488" s="1742">
        <v>100</v>
      </c>
      <c r="G2488" s="1743">
        <v>0</v>
      </c>
    </row>
    <row r="2489" spans="1:7" x14ac:dyDescent="0.25">
      <c r="A2489" s="3353" t="s">
        <v>113</v>
      </c>
      <c r="B2489" s="3354"/>
      <c r="C2489" s="3354"/>
      <c r="D2489" s="3354"/>
      <c r="E2489" s="3354"/>
      <c r="F2489" s="3354"/>
      <c r="G2489" s="3354"/>
    </row>
    <row r="2490" spans="1:7" x14ac:dyDescent="0.25">
      <c r="A2490" s="11" t="s">
        <v>988</v>
      </c>
      <c r="B2490" s="11" t="s">
        <v>1148</v>
      </c>
      <c r="C2490" s="1748">
        <v>320</v>
      </c>
      <c r="D2490" s="1748">
        <v>153249.635569103</v>
      </c>
      <c r="E2490" s="1749">
        <v>31105.807856449399</v>
      </c>
      <c r="F2490" s="1750">
        <v>100</v>
      </c>
      <c r="G2490" s="1751">
        <v>0</v>
      </c>
    </row>
    <row r="2491" spans="1:7" x14ac:dyDescent="0.25">
      <c r="A2491" s="6" t="s">
        <v>982</v>
      </c>
      <c r="B2491" s="6" t="s">
        <v>983</v>
      </c>
      <c r="C2491" s="1744">
        <v>5760</v>
      </c>
      <c r="D2491" s="1744">
        <v>6674736.7596666999</v>
      </c>
      <c r="E2491" s="1745">
        <v>31083.736341862001</v>
      </c>
      <c r="F2491" s="1746">
        <v>99.998822367962006</v>
      </c>
      <c r="G2491" s="1747">
        <v>1.19270098023757E-3</v>
      </c>
    </row>
    <row r="2492" spans="1:7" x14ac:dyDescent="0.25">
      <c r="A2492" s="11" t="s">
        <v>996</v>
      </c>
      <c r="B2492" s="11" t="s">
        <v>997</v>
      </c>
      <c r="C2492" s="1748">
        <v>1</v>
      </c>
      <c r="D2492" s="1748">
        <v>78.604764209433696</v>
      </c>
      <c r="E2492" s="1749">
        <v>79.597697200719196</v>
      </c>
      <c r="F2492" s="1750">
        <v>1.1776320380082199E-3</v>
      </c>
      <c r="G2492" s="1751">
        <v>1.19270098023397E-3</v>
      </c>
    </row>
    <row r="2493" spans="1:7" x14ac:dyDescent="0.25">
      <c r="A2493" s="6" t="s">
        <v>6293</v>
      </c>
      <c r="B2493" s="6" t="s">
        <v>6294</v>
      </c>
      <c r="C2493" s="1744">
        <v>320</v>
      </c>
      <c r="D2493" s="1744">
        <v>153249.635569103</v>
      </c>
      <c r="E2493" s="1745">
        <v>31105.807856449399</v>
      </c>
      <c r="F2493" s="1746">
        <v>2.24440797750318</v>
      </c>
      <c r="G2493" s="1747">
        <v>0.45555816847744701</v>
      </c>
    </row>
    <row r="2494" spans="1:7" x14ac:dyDescent="0.25">
      <c r="A2494" s="11" t="s">
        <v>6293</v>
      </c>
      <c r="B2494" s="11" t="s">
        <v>6295</v>
      </c>
      <c r="C2494" s="1748">
        <v>6081</v>
      </c>
      <c r="D2494" s="1748">
        <v>6828065.0000000102</v>
      </c>
      <c r="E2494" s="1749">
        <v>0</v>
      </c>
      <c r="F2494" s="1750">
        <v>100</v>
      </c>
      <c r="G2494" s="1751">
        <v>0</v>
      </c>
    </row>
    <row r="2495" spans="1:7" x14ac:dyDescent="0.25">
      <c r="A2495" s="3353" t="s">
        <v>123</v>
      </c>
      <c r="B2495" s="3354"/>
      <c r="C2495" s="3354"/>
      <c r="D2495" s="3354"/>
      <c r="E2495" s="3354"/>
      <c r="F2495" s="3354"/>
      <c r="G2495" s="3354"/>
    </row>
    <row r="2496" spans="1:7" x14ac:dyDescent="0.25">
      <c r="A2496" s="11" t="s">
        <v>990</v>
      </c>
      <c r="B2496" s="11" t="s">
        <v>1149</v>
      </c>
      <c r="C2496" s="1756">
        <v>175</v>
      </c>
      <c r="D2496" s="1756">
        <v>186502.75015675201</v>
      </c>
      <c r="E2496" s="1757">
        <v>30571.808085008299</v>
      </c>
      <c r="F2496" s="1758">
        <v>100</v>
      </c>
      <c r="G2496" s="1759">
        <v>0</v>
      </c>
    </row>
    <row r="2497" spans="1:7" x14ac:dyDescent="0.25">
      <c r="A2497" s="6" t="s">
        <v>982</v>
      </c>
      <c r="B2497" s="6" t="s">
        <v>983</v>
      </c>
      <c r="C2497" s="1752">
        <v>5905</v>
      </c>
      <c r="D2497" s="1752">
        <v>6641483.6450790502</v>
      </c>
      <c r="E2497" s="1753">
        <v>30600.861461370401</v>
      </c>
      <c r="F2497" s="1754">
        <v>99.998816471769004</v>
      </c>
      <c r="G2497" s="1755">
        <v>1.19946431782627E-3</v>
      </c>
    </row>
    <row r="2498" spans="1:7" x14ac:dyDescent="0.25">
      <c r="A2498" s="11" t="s">
        <v>996</v>
      </c>
      <c r="B2498" s="11" t="s">
        <v>997</v>
      </c>
      <c r="C2498" s="1756">
        <v>1</v>
      </c>
      <c r="D2498" s="1756">
        <v>78.604764209433696</v>
      </c>
      <c r="E2498" s="1757">
        <v>79.597697200719196</v>
      </c>
      <c r="F2498" s="1758">
        <v>1.1835282310466799E-3</v>
      </c>
      <c r="G2498" s="1759">
        <v>1.19946431782438E-3</v>
      </c>
    </row>
    <row r="2499" spans="1:7" x14ac:dyDescent="0.25">
      <c r="A2499" s="6" t="s">
        <v>6293</v>
      </c>
      <c r="B2499" s="6" t="s">
        <v>6294</v>
      </c>
      <c r="C2499" s="1752">
        <v>175</v>
      </c>
      <c r="D2499" s="1752">
        <v>186502.75015675201</v>
      </c>
      <c r="E2499" s="1753">
        <v>30571.808085008299</v>
      </c>
      <c r="F2499" s="1754">
        <v>2.73141439275624</v>
      </c>
      <c r="G2499" s="1755">
        <v>0.44773750813748903</v>
      </c>
    </row>
    <row r="2500" spans="1:7" x14ac:dyDescent="0.25">
      <c r="A2500" s="11" t="s">
        <v>6293</v>
      </c>
      <c r="B2500" s="11" t="s">
        <v>6295</v>
      </c>
      <c r="C2500" s="1756">
        <v>6081</v>
      </c>
      <c r="D2500" s="1756">
        <v>6828065.0000000102</v>
      </c>
      <c r="E2500" s="1757">
        <v>0</v>
      </c>
      <c r="F2500" s="1758">
        <v>100</v>
      </c>
      <c r="G2500" s="1759">
        <v>0</v>
      </c>
    </row>
    <row r="2501" spans="1:7" x14ac:dyDescent="0.25">
      <c r="A2501" s="3353" t="s">
        <v>117</v>
      </c>
      <c r="B2501" s="3354"/>
      <c r="C2501" s="3354"/>
      <c r="D2501" s="3354"/>
      <c r="E2501" s="3354"/>
      <c r="F2501" s="3354"/>
      <c r="G2501" s="3354"/>
    </row>
    <row r="2502" spans="1:7" x14ac:dyDescent="0.25">
      <c r="A2502" s="11" t="s">
        <v>992</v>
      </c>
      <c r="B2502" s="11" t="s">
        <v>1150</v>
      </c>
      <c r="C2502" s="1764">
        <v>46</v>
      </c>
      <c r="D2502" s="1764">
        <v>38653.819852968802</v>
      </c>
      <c r="E2502" s="1765">
        <v>10640.547457434801</v>
      </c>
      <c r="F2502" s="1766">
        <v>100</v>
      </c>
      <c r="G2502" s="1767">
        <v>0</v>
      </c>
    </row>
    <row r="2503" spans="1:7" x14ac:dyDescent="0.25">
      <c r="A2503" s="6" t="s">
        <v>982</v>
      </c>
      <c r="B2503" s="6" t="s">
        <v>983</v>
      </c>
      <c r="C2503" s="1760">
        <v>6034</v>
      </c>
      <c r="D2503" s="1760">
        <v>6789332.5753828399</v>
      </c>
      <c r="E2503" s="1761">
        <v>10641.644745043301</v>
      </c>
      <c r="F2503" s="1762">
        <v>99.998842244752595</v>
      </c>
      <c r="G2503" s="1763">
        <v>1.17267256168182E-3</v>
      </c>
    </row>
    <row r="2504" spans="1:7" x14ac:dyDescent="0.25">
      <c r="A2504" s="11" t="s">
        <v>996</v>
      </c>
      <c r="B2504" s="11" t="s">
        <v>997</v>
      </c>
      <c r="C2504" s="1764">
        <v>1</v>
      </c>
      <c r="D2504" s="1764">
        <v>78.604764209433696</v>
      </c>
      <c r="E2504" s="1765">
        <v>79.597697200719196</v>
      </c>
      <c r="F2504" s="1766">
        <v>1.1577552474547801E-3</v>
      </c>
      <c r="G2504" s="1767">
        <v>1.1726725616791099E-3</v>
      </c>
    </row>
    <row r="2505" spans="1:7" x14ac:dyDescent="0.25">
      <c r="A2505" s="6" t="s">
        <v>6293</v>
      </c>
      <c r="B2505" s="6" t="s">
        <v>6294</v>
      </c>
      <c r="C2505" s="1760">
        <v>46</v>
      </c>
      <c r="D2505" s="1760">
        <v>38653.819852968802</v>
      </c>
      <c r="E2505" s="1761">
        <v>10640.547457434801</v>
      </c>
      <c r="F2505" s="1762">
        <v>0.56610210730226995</v>
      </c>
      <c r="G2505" s="1763">
        <v>0.155835473994972</v>
      </c>
    </row>
    <row r="2506" spans="1:7" x14ac:dyDescent="0.25">
      <c r="A2506" s="11" t="s">
        <v>6293</v>
      </c>
      <c r="B2506" s="11" t="s">
        <v>6295</v>
      </c>
      <c r="C2506" s="1764">
        <v>6081</v>
      </c>
      <c r="D2506" s="1764">
        <v>6828065.0000000196</v>
      </c>
      <c r="E2506" s="1765">
        <v>0</v>
      </c>
      <c r="F2506" s="1766">
        <v>100</v>
      </c>
      <c r="G2506" s="1767">
        <v>0</v>
      </c>
    </row>
    <row r="2507" spans="1:7" x14ac:dyDescent="0.25">
      <c r="A2507" s="3353" t="s">
        <v>125</v>
      </c>
      <c r="B2507" s="3354"/>
      <c r="C2507" s="3354"/>
      <c r="D2507" s="3354"/>
      <c r="E2507" s="3354"/>
      <c r="F2507" s="3354"/>
      <c r="G2507" s="3354"/>
    </row>
    <row r="2508" spans="1:7" x14ac:dyDescent="0.25">
      <c r="A2508" s="11" t="s">
        <v>994</v>
      </c>
      <c r="B2508" s="11" t="s">
        <v>1151</v>
      </c>
      <c r="C2508" s="1772">
        <v>47</v>
      </c>
      <c r="D2508" s="1772">
        <v>37022.901897492797</v>
      </c>
      <c r="E2508" s="1773">
        <v>12976.489638974799</v>
      </c>
      <c r="F2508" s="1774">
        <v>100</v>
      </c>
      <c r="G2508" s="1775">
        <v>0</v>
      </c>
    </row>
    <row r="2509" spans="1:7" x14ac:dyDescent="0.25">
      <c r="A2509" s="6" t="s">
        <v>982</v>
      </c>
      <c r="B2509" s="6" t="s">
        <v>983</v>
      </c>
      <c r="C2509" s="1768">
        <v>6033</v>
      </c>
      <c r="D2509" s="1768">
        <v>6790963.4933383204</v>
      </c>
      <c r="E2509" s="1769">
        <v>12972.972339354799</v>
      </c>
      <c r="F2509" s="1770">
        <v>99.998842522795897</v>
      </c>
      <c r="G2509" s="1771">
        <v>1.1721884523745701E-3</v>
      </c>
    </row>
    <row r="2510" spans="1:7" x14ac:dyDescent="0.25">
      <c r="A2510" s="11" t="s">
        <v>996</v>
      </c>
      <c r="B2510" s="11" t="s">
        <v>997</v>
      </c>
      <c r="C2510" s="1772">
        <v>1</v>
      </c>
      <c r="D2510" s="1772">
        <v>78.604764209433696</v>
      </c>
      <c r="E2510" s="1773">
        <v>79.597697200719196</v>
      </c>
      <c r="F2510" s="1774">
        <v>1.1574772041451E-3</v>
      </c>
      <c r="G2510" s="1775">
        <v>1.17218845237162E-3</v>
      </c>
    </row>
    <row r="2511" spans="1:7" x14ac:dyDescent="0.25">
      <c r="A2511" s="6" t="s">
        <v>6293</v>
      </c>
      <c r="B2511" s="6" t="s">
        <v>6294</v>
      </c>
      <c r="C2511" s="1768">
        <v>47</v>
      </c>
      <c r="D2511" s="1768">
        <v>37022.901897492797</v>
      </c>
      <c r="E2511" s="1769">
        <v>12976.489638974799</v>
      </c>
      <c r="F2511" s="1770">
        <v>0.54221660012745498</v>
      </c>
      <c r="G2511" s="1771">
        <v>0.190046369490842</v>
      </c>
    </row>
    <row r="2512" spans="1:7" x14ac:dyDescent="0.25">
      <c r="A2512" s="11" t="s">
        <v>6293</v>
      </c>
      <c r="B2512" s="11" t="s">
        <v>6295</v>
      </c>
      <c r="C2512" s="1772">
        <v>6081</v>
      </c>
      <c r="D2512" s="1772">
        <v>6828065.0000000196</v>
      </c>
      <c r="E2512" s="1773">
        <v>0</v>
      </c>
      <c r="F2512" s="1774">
        <v>100</v>
      </c>
      <c r="G2512" s="1775">
        <v>0</v>
      </c>
    </row>
    <row r="2513" spans="1:7" x14ac:dyDescent="0.25">
      <c r="A2513" s="3353" t="s">
        <v>127</v>
      </c>
      <c r="B2513" s="3354"/>
      <c r="C2513" s="3354"/>
      <c r="D2513" s="3354"/>
      <c r="E2513" s="3354"/>
      <c r="F2513" s="3354"/>
      <c r="G2513" s="3354"/>
    </row>
    <row r="2514" spans="1:7" x14ac:dyDescent="0.25">
      <c r="A2514" s="11" t="s">
        <v>1003</v>
      </c>
      <c r="B2514" s="11" t="s">
        <v>1152</v>
      </c>
      <c r="C2514" s="1780">
        <v>26</v>
      </c>
      <c r="D2514" s="1780">
        <v>52973.502287952499</v>
      </c>
      <c r="E2514" s="1781">
        <v>20290.590223749601</v>
      </c>
      <c r="F2514" s="1782">
        <v>100</v>
      </c>
      <c r="G2514" s="1783">
        <v>0</v>
      </c>
    </row>
    <row r="2515" spans="1:7" x14ac:dyDescent="0.25">
      <c r="A2515" s="6" t="s">
        <v>982</v>
      </c>
      <c r="B2515" s="6" t="s">
        <v>983</v>
      </c>
      <c r="C2515" s="1776">
        <v>6054</v>
      </c>
      <c r="D2515" s="1776">
        <v>6775012.8929478601</v>
      </c>
      <c r="E2515" s="1777">
        <v>20300.1056618818</v>
      </c>
      <c r="F2515" s="1778">
        <v>99.998839797746896</v>
      </c>
      <c r="G2515" s="1779">
        <v>1.17527181041447E-3</v>
      </c>
    </row>
    <row r="2516" spans="1:7" x14ac:dyDescent="0.25">
      <c r="A2516" s="11" t="s">
        <v>996</v>
      </c>
      <c r="B2516" s="11" t="s">
        <v>997</v>
      </c>
      <c r="C2516" s="1780">
        <v>1</v>
      </c>
      <c r="D2516" s="1780">
        <v>78.604764209433696</v>
      </c>
      <c r="E2516" s="1781">
        <v>79.597697200719196</v>
      </c>
      <c r="F2516" s="1782">
        <v>1.1602022531500601E-3</v>
      </c>
      <c r="G2516" s="1783">
        <v>1.1752718104118601E-3</v>
      </c>
    </row>
    <row r="2517" spans="1:7" x14ac:dyDescent="0.25">
      <c r="A2517" s="6" t="s">
        <v>6293</v>
      </c>
      <c r="B2517" s="6" t="s">
        <v>6294</v>
      </c>
      <c r="C2517" s="1776">
        <v>26</v>
      </c>
      <c r="D2517" s="1776">
        <v>52973.502287952499</v>
      </c>
      <c r="E2517" s="1777">
        <v>20290.590223749601</v>
      </c>
      <c r="F2517" s="1778">
        <v>0.77582012309420501</v>
      </c>
      <c r="G2517" s="1779">
        <v>0.29716457332713703</v>
      </c>
    </row>
    <row r="2518" spans="1:7" x14ac:dyDescent="0.25">
      <c r="A2518" s="11" t="s">
        <v>6293</v>
      </c>
      <c r="B2518" s="11" t="s">
        <v>6295</v>
      </c>
      <c r="C2518" s="1780">
        <v>6081</v>
      </c>
      <c r="D2518" s="1780">
        <v>6828065.0000000196</v>
      </c>
      <c r="E2518" s="1781">
        <v>0</v>
      </c>
      <c r="F2518" s="1782">
        <v>100</v>
      </c>
      <c r="G2518" s="1783">
        <v>0</v>
      </c>
    </row>
    <row r="2519" spans="1:7" x14ac:dyDescent="0.25">
      <c r="A2519" s="3353" t="s">
        <v>115</v>
      </c>
      <c r="B2519" s="3354"/>
      <c r="C2519" s="3354"/>
      <c r="D2519" s="3354"/>
      <c r="E2519" s="3354"/>
      <c r="F2519" s="3354"/>
      <c r="G2519" s="3354"/>
    </row>
    <row r="2520" spans="1:7" x14ac:dyDescent="0.25">
      <c r="A2520" s="11" t="s">
        <v>1015</v>
      </c>
      <c r="B2520" s="11" t="s">
        <v>1059</v>
      </c>
      <c r="C2520" s="1788">
        <v>218</v>
      </c>
      <c r="D2520" s="1788">
        <v>101915.562542899</v>
      </c>
      <c r="E2520" s="1789">
        <v>17456.780311063201</v>
      </c>
      <c r="F2520" s="1790">
        <v>100</v>
      </c>
      <c r="G2520" s="1791">
        <v>0</v>
      </c>
    </row>
    <row r="2521" spans="1:7" x14ac:dyDescent="0.25">
      <c r="A2521" s="6" t="s">
        <v>982</v>
      </c>
      <c r="B2521" s="6" t="s">
        <v>983</v>
      </c>
      <c r="C2521" s="1784">
        <v>5862</v>
      </c>
      <c r="D2521" s="1784">
        <v>6726070.83269291</v>
      </c>
      <c r="E2521" s="1785">
        <v>17439.379815505901</v>
      </c>
      <c r="F2521" s="1786">
        <v>99.998831355667306</v>
      </c>
      <c r="G2521" s="1787">
        <v>1.1831788581203001E-3</v>
      </c>
    </row>
    <row r="2522" spans="1:7" x14ac:dyDescent="0.25">
      <c r="A2522" s="11" t="s">
        <v>996</v>
      </c>
      <c r="B2522" s="11" t="s">
        <v>997</v>
      </c>
      <c r="C2522" s="1788">
        <v>1</v>
      </c>
      <c r="D2522" s="1788">
        <v>78.604764209433696</v>
      </c>
      <c r="E2522" s="1789">
        <v>79.597697200719196</v>
      </c>
      <c r="F2522" s="1790">
        <v>1.1686443326949199E-3</v>
      </c>
      <c r="G2522" s="1791">
        <v>1.1831788581193701E-3</v>
      </c>
    </row>
    <row r="2523" spans="1:7" x14ac:dyDescent="0.25">
      <c r="A2523" s="6" t="s">
        <v>6293</v>
      </c>
      <c r="B2523" s="6" t="s">
        <v>6294</v>
      </c>
      <c r="C2523" s="1784">
        <v>218</v>
      </c>
      <c r="D2523" s="1784">
        <v>101915.562542899</v>
      </c>
      <c r="E2523" s="1785">
        <v>17456.780311063201</v>
      </c>
      <c r="F2523" s="1786">
        <v>1.4925980133888499</v>
      </c>
      <c r="G2523" s="1787">
        <v>0.25566218703341398</v>
      </c>
    </row>
    <row r="2524" spans="1:7" x14ac:dyDescent="0.25">
      <c r="A2524" s="11" t="s">
        <v>6293</v>
      </c>
      <c r="B2524" s="11" t="s">
        <v>6295</v>
      </c>
      <c r="C2524" s="1788">
        <v>6081</v>
      </c>
      <c r="D2524" s="1788">
        <v>6828065.0000000102</v>
      </c>
      <c r="E2524" s="1789">
        <v>0</v>
      </c>
      <c r="F2524" s="1790">
        <v>100</v>
      </c>
      <c r="G2524" s="1791">
        <v>0</v>
      </c>
    </row>
    <row r="2525" spans="1:7" x14ac:dyDescent="0.25">
      <c r="A2525" s="3353" t="s">
        <v>110</v>
      </c>
      <c r="B2525" s="3354"/>
      <c r="C2525" s="3354"/>
      <c r="D2525" s="3354"/>
      <c r="E2525" s="3354"/>
      <c r="F2525" s="3354"/>
      <c r="G2525" s="3354"/>
    </row>
    <row r="2526" spans="1:7" x14ac:dyDescent="0.25">
      <c r="A2526" s="11" t="s">
        <v>982</v>
      </c>
      <c r="B2526" s="11" t="s">
        <v>983</v>
      </c>
      <c r="C2526" s="1796">
        <v>6080</v>
      </c>
      <c r="D2526" s="1796">
        <v>6827986.3952358002</v>
      </c>
      <c r="E2526" s="1797">
        <v>79.597697196597096</v>
      </c>
      <c r="F2526" s="1798">
        <v>99.9988487988294</v>
      </c>
      <c r="G2526" s="1799">
        <v>1.1657431087851199E-3</v>
      </c>
    </row>
    <row r="2527" spans="1:7" x14ac:dyDescent="0.25">
      <c r="A2527" s="6" t="s">
        <v>996</v>
      </c>
      <c r="B2527" s="6" t="s">
        <v>997</v>
      </c>
      <c r="C2527" s="1792">
        <v>1</v>
      </c>
      <c r="D2527" s="1792">
        <v>78.604764209433696</v>
      </c>
      <c r="E2527" s="1793">
        <v>79.597697200719196</v>
      </c>
      <c r="F2527" s="1794">
        <v>1.15120117060153E-3</v>
      </c>
      <c r="G2527" s="1795">
        <v>1.16574310878293E-3</v>
      </c>
    </row>
    <row r="2528" spans="1:7" x14ac:dyDescent="0.25">
      <c r="A2528" s="11" t="s">
        <v>6293</v>
      </c>
      <c r="B2528" s="11" t="s">
        <v>6294</v>
      </c>
      <c r="C2528" s="1796">
        <v>0</v>
      </c>
      <c r="D2528" s="1796">
        <v>0</v>
      </c>
      <c r="E2528" s="1797">
        <v>0</v>
      </c>
      <c r="F2528" s="1798">
        <v>0</v>
      </c>
      <c r="G2528" s="1799">
        <v>0</v>
      </c>
    </row>
    <row r="2529" spans="1:7" x14ac:dyDescent="0.25">
      <c r="A2529" s="6" t="s">
        <v>6293</v>
      </c>
      <c r="B2529" s="6" t="s">
        <v>6295</v>
      </c>
      <c r="C2529" s="1792">
        <v>6081</v>
      </c>
      <c r="D2529" s="1792">
        <v>6828065.0000000102</v>
      </c>
      <c r="E2529" s="1793">
        <v>0</v>
      </c>
      <c r="F2529" s="1794">
        <v>100</v>
      </c>
      <c r="G2529" s="1795">
        <v>0</v>
      </c>
    </row>
    <row r="2530" spans="1:7" x14ac:dyDescent="0.25">
      <c r="A2530" s="3353" t="s">
        <v>119</v>
      </c>
      <c r="B2530" s="3354"/>
      <c r="C2530" s="3354"/>
      <c r="D2530" s="3354"/>
      <c r="E2530" s="3354"/>
      <c r="F2530" s="3354"/>
      <c r="G2530" s="3354"/>
    </row>
    <row r="2531" spans="1:7" x14ac:dyDescent="0.25">
      <c r="A2531" s="11" t="s">
        <v>982</v>
      </c>
      <c r="B2531" s="11" t="s">
        <v>983</v>
      </c>
      <c r="C2531" s="1804">
        <v>6080</v>
      </c>
      <c r="D2531" s="1804">
        <v>6827986.3952358002</v>
      </c>
      <c r="E2531" s="1805">
        <v>79.597697196597096</v>
      </c>
      <c r="F2531" s="1806">
        <v>99.9988487988294</v>
      </c>
      <c r="G2531" s="1807">
        <v>1.1657431087851199E-3</v>
      </c>
    </row>
    <row r="2532" spans="1:7" x14ac:dyDescent="0.25">
      <c r="A2532" s="6" t="s">
        <v>996</v>
      </c>
      <c r="B2532" s="6" t="s">
        <v>997</v>
      </c>
      <c r="C2532" s="1800">
        <v>1</v>
      </c>
      <c r="D2532" s="1800">
        <v>78.604764209433696</v>
      </c>
      <c r="E2532" s="1801">
        <v>79.597697200719196</v>
      </c>
      <c r="F2532" s="1802">
        <v>1.15120117060153E-3</v>
      </c>
      <c r="G2532" s="1803">
        <v>1.16574310878293E-3</v>
      </c>
    </row>
    <row r="2533" spans="1:7" x14ac:dyDescent="0.25">
      <c r="A2533" s="11" t="s">
        <v>6293</v>
      </c>
      <c r="B2533" s="11" t="s">
        <v>6294</v>
      </c>
      <c r="C2533" s="1804">
        <v>0</v>
      </c>
      <c r="D2533" s="1804">
        <v>0</v>
      </c>
      <c r="E2533" s="1805">
        <v>0</v>
      </c>
      <c r="F2533" s="1806">
        <v>0</v>
      </c>
      <c r="G2533" s="1807">
        <v>0</v>
      </c>
    </row>
    <row r="2534" spans="1:7" x14ac:dyDescent="0.25">
      <c r="A2534" s="6" t="s">
        <v>6293</v>
      </c>
      <c r="B2534" s="6" t="s">
        <v>6295</v>
      </c>
      <c r="C2534" s="1800">
        <v>6081</v>
      </c>
      <c r="D2534" s="1800">
        <v>6828065.0000000102</v>
      </c>
      <c r="E2534" s="1801">
        <v>0</v>
      </c>
      <c r="F2534" s="1802">
        <v>100</v>
      </c>
      <c r="G2534" s="1803">
        <v>0</v>
      </c>
    </row>
    <row r="2535" spans="1:7" x14ac:dyDescent="0.25">
      <c r="A2535" s="3353" t="s">
        <v>529</v>
      </c>
      <c r="B2535" s="3354"/>
      <c r="C2535" s="3354"/>
      <c r="D2535" s="3354"/>
      <c r="E2535" s="3354"/>
      <c r="F2535" s="3354"/>
      <c r="G2535" s="3354"/>
    </row>
    <row r="2536" spans="1:7" x14ac:dyDescent="0.25">
      <c r="A2536" s="11" t="s">
        <v>986</v>
      </c>
      <c r="B2536" s="11" t="s">
        <v>1062</v>
      </c>
      <c r="C2536" s="1812">
        <v>6047</v>
      </c>
      <c r="D2536" s="1812">
        <v>6799278.7606695797</v>
      </c>
      <c r="E2536" s="1813">
        <v>16178.540311401901</v>
      </c>
      <c r="F2536" s="1814">
        <v>99.578412927667898</v>
      </c>
      <c r="G2536" s="1815">
        <v>0.23694180285923899</v>
      </c>
    </row>
    <row r="2537" spans="1:7" x14ac:dyDescent="0.25">
      <c r="A2537" s="6" t="s">
        <v>984</v>
      </c>
      <c r="B2537" s="6" t="s">
        <v>1061</v>
      </c>
      <c r="C2537" s="1808">
        <v>34</v>
      </c>
      <c r="D2537" s="1808">
        <v>28786.2393304328</v>
      </c>
      <c r="E2537" s="1809">
        <v>16178.5403114001</v>
      </c>
      <c r="F2537" s="1810">
        <v>0.42158707233209902</v>
      </c>
      <c r="G2537" s="1811">
        <v>0.23694180285923</v>
      </c>
    </row>
    <row r="2538" spans="1:7" x14ac:dyDescent="0.25">
      <c r="A2538" s="11" t="s">
        <v>6293</v>
      </c>
      <c r="B2538" s="11" t="s">
        <v>6294</v>
      </c>
      <c r="C2538" s="1812">
        <v>6081</v>
      </c>
      <c r="D2538" s="1812">
        <v>6828065.0000000196</v>
      </c>
      <c r="E2538" s="1813">
        <v>1.8867829641672399E-7</v>
      </c>
      <c r="F2538" s="1814">
        <v>100</v>
      </c>
      <c r="G2538" s="1815">
        <v>1.78031750616652E-14</v>
      </c>
    </row>
    <row r="2539" spans="1:7" x14ac:dyDescent="0.25">
      <c r="A2539" s="6" t="s">
        <v>6293</v>
      </c>
      <c r="B2539" s="6" t="s">
        <v>6295</v>
      </c>
      <c r="C2539" s="1808">
        <v>6081</v>
      </c>
      <c r="D2539" s="1808">
        <v>6828065.0000000196</v>
      </c>
      <c r="E2539" s="1809">
        <v>0</v>
      </c>
      <c r="F2539" s="1810">
        <v>100</v>
      </c>
      <c r="G2539" s="1811">
        <v>0</v>
      </c>
    </row>
    <row r="2540" spans="1:7" x14ac:dyDescent="0.25">
      <c r="A2540" s="3353" t="s">
        <v>527</v>
      </c>
      <c r="B2540" s="3354"/>
      <c r="C2540" s="3354"/>
      <c r="D2540" s="3354"/>
      <c r="E2540" s="3354"/>
      <c r="F2540" s="3354"/>
      <c r="G2540" s="3354"/>
    </row>
    <row r="2541" spans="1:7" x14ac:dyDescent="0.25">
      <c r="A2541" s="11" t="s">
        <v>986</v>
      </c>
      <c r="B2541" s="11" t="s">
        <v>1062</v>
      </c>
      <c r="C2541" s="1820">
        <v>5657</v>
      </c>
      <c r="D2541" s="1820">
        <v>6231786.5158086503</v>
      </c>
      <c r="E2541" s="1821">
        <v>82690.553576480102</v>
      </c>
      <c r="F2541" s="1822">
        <v>91.267240657618899</v>
      </c>
      <c r="G2541" s="1823">
        <v>1.2110393438915099</v>
      </c>
    </row>
    <row r="2542" spans="1:7" x14ac:dyDescent="0.25">
      <c r="A2542" s="6" t="s">
        <v>984</v>
      </c>
      <c r="B2542" s="6" t="s">
        <v>1061</v>
      </c>
      <c r="C2542" s="1816">
        <v>424</v>
      </c>
      <c r="D2542" s="1816">
        <v>596278.48419135099</v>
      </c>
      <c r="E2542" s="1817">
        <v>82690.553576486098</v>
      </c>
      <c r="F2542" s="1818">
        <v>8.7327593423810494</v>
      </c>
      <c r="G2542" s="1819">
        <v>1.2110393438914999</v>
      </c>
    </row>
    <row r="2543" spans="1:7" x14ac:dyDescent="0.25">
      <c r="A2543" s="11" t="s">
        <v>6293</v>
      </c>
      <c r="B2543" s="11" t="s">
        <v>6294</v>
      </c>
      <c r="C2543" s="1820">
        <v>6081</v>
      </c>
      <c r="D2543" s="1820">
        <v>6828065.0000000102</v>
      </c>
      <c r="E2543" s="1821">
        <v>9.2339923758387697E-8</v>
      </c>
      <c r="F2543" s="1822">
        <v>100</v>
      </c>
      <c r="G2543" s="1823">
        <v>1.01233138679652E-13</v>
      </c>
    </row>
    <row r="2544" spans="1:7" x14ac:dyDescent="0.25">
      <c r="A2544" s="6" t="s">
        <v>6293</v>
      </c>
      <c r="B2544" s="6" t="s">
        <v>6295</v>
      </c>
      <c r="C2544" s="1816">
        <v>6081</v>
      </c>
      <c r="D2544" s="1816">
        <v>6828065.0000000102</v>
      </c>
      <c r="E2544" s="1817">
        <v>0</v>
      </c>
      <c r="F2544" s="1818">
        <v>100</v>
      </c>
      <c r="G2544" s="1819">
        <v>0</v>
      </c>
    </row>
    <row r="2545" spans="1:7" x14ac:dyDescent="0.25">
      <c r="A2545" s="3353" t="s">
        <v>533</v>
      </c>
      <c r="B2545" s="3354"/>
      <c r="C2545" s="3354"/>
      <c r="D2545" s="3354"/>
      <c r="E2545" s="3354"/>
      <c r="F2545" s="3354"/>
      <c r="G2545" s="3354"/>
    </row>
    <row r="2546" spans="1:7" x14ac:dyDescent="0.25">
      <c r="A2546" s="11" t="s">
        <v>986</v>
      </c>
      <c r="B2546" s="11" t="s">
        <v>1062</v>
      </c>
      <c r="C2546" s="1828">
        <v>5936</v>
      </c>
      <c r="D2546" s="1828">
        <v>6680914.9007583596</v>
      </c>
      <c r="E2546" s="1829">
        <v>37581.263640889199</v>
      </c>
      <c r="F2546" s="1830">
        <v>97.844922401271006</v>
      </c>
      <c r="G2546" s="1831">
        <v>0.55039405220785098</v>
      </c>
    </row>
    <row r="2547" spans="1:7" x14ac:dyDescent="0.25">
      <c r="A2547" s="6" t="s">
        <v>984</v>
      </c>
      <c r="B2547" s="6" t="s">
        <v>1061</v>
      </c>
      <c r="C2547" s="1824">
        <v>145</v>
      </c>
      <c r="D2547" s="1824">
        <v>147150.09924165299</v>
      </c>
      <c r="E2547" s="1825">
        <v>37581.263640886304</v>
      </c>
      <c r="F2547" s="1826">
        <v>2.1550775987289601</v>
      </c>
      <c r="G2547" s="1827">
        <v>0.55039405220785598</v>
      </c>
    </row>
    <row r="2548" spans="1:7" x14ac:dyDescent="0.25">
      <c r="A2548" s="11" t="s">
        <v>6293</v>
      </c>
      <c r="B2548" s="11" t="s">
        <v>6294</v>
      </c>
      <c r="C2548" s="1828">
        <v>6081</v>
      </c>
      <c r="D2548" s="1828">
        <v>6828065.0000000196</v>
      </c>
      <c r="E2548" s="1829">
        <v>1.8199536921312699E-7</v>
      </c>
      <c r="F2548" s="1830">
        <v>100</v>
      </c>
      <c r="G2548" s="1831">
        <v>1.01233138679652E-13</v>
      </c>
    </row>
    <row r="2549" spans="1:7" x14ac:dyDescent="0.25">
      <c r="A2549" s="6" t="s">
        <v>6293</v>
      </c>
      <c r="B2549" s="6" t="s">
        <v>6295</v>
      </c>
      <c r="C2549" s="1824">
        <v>6081</v>
      </c>
      <c r="D2549" s="1824">
        <v>6828065.0000000196</v>
      </c>
      <c r="E2549" s="1825">
        <v>0</v>
      </c>
      <c r="F2549" s="1826">
        <v>100</v>
      </c>
      <c r="G2549" s="1827">
        <v>0</v>
      </c>
    </row>
    <row r="2550" spans="1:7" x14ac:dyDescent="0.25">
      <c r="A2550" s="3353" t="s">
        <v>531</v>
      </c>
      <c r="B2550" s="3354"/>
      <c r="C2550" s="3354"/>
      <c r="D2550" s="3354"/>
      <c r="E2550" s="3354"/>
      <c r="F2550" s="3354"/>
      <c r="G2550" s="3354"/>
    </row>
    <row r="2551" spans="1:7" x14ac:dyDescent="0.25">
      <c r="A2551" s="11" t="s">
        <v>986</v>
      </c>
      <c r="B2551" s="11" t="s">
        <v>1062</v>
      </c>
      <c r="C2551" s="1836">
        <v>6017</v>
      </c>
      <c r="D2551" s="1836">
        <v>6795216.6865030099</v>
      </c>
      <c r="E2551" s="1837">
        <v>15322.0453908912</v>
      </c>
      <c r="F2551" s="1838">
        <v>99.518922073867103</v>
      </c>
      <c r="G2551" s="1839">
        <v>0.224398059931702</v>
      </c>
    </row>
    <row r="2552" spans="1:7" x14ac:dyDescent="0.25">
      <c r="A2552" s="6" t="s">
        <v>984</v>
      </c>
      <c r="B2552" s="6" t="s">
        <v>1061</v>
      </c>
      <c r="C2552" s="1832">
        <v>64</v>
      </c>
      <c r="D2552" s="1832">
        <v>32848.313497006799</v>
      </c>
      <c r="E2552" s="1833">
        <v>15322.045390875899</v>
      </c>
      <c r="F2552" s="1834">
        <v>0.48107792613290501</v>
      </c>
      <c r="G2552" s="1835">
        <v>0.224398059931707</v>
      </c>
    </row>
    <row r="2553" spans="1:7" x14ac:dyDescent="0.25">
      <c r="A2553" s="11" t="s">
        <v>6293</v>
      </c>
      <c r="B2553" s="11" t="s">
        <v>6294</v>
      </c>
      <c r="C2553" s="1836">
        <v>6081</v>
      </c>
      <c r="D2553" s="1836">
        <v>6828065.0000000196</v>
      </c>
      <c r="E2553" s="1837">
        <v>1.89272349591895E-7</v>
      </c>
      <c r="F2553" s="1838">
        <v>100</v>
      </c>
      <c r="G2553" s="1839">
        <v>1.01233138679652E-13</v>
      </c>
    </row>
    <row r="2554" spans="1:7" x14ac:dyDescent="0.25">
      <c r="A2554" s="6" t="s">
        <v>6293</v>
      </c>
      <c r="B2554" s="6" t="s">
        <v>6295</v>
      </c>
      <c r="C2554" s="1832">
        <v>6081</v>
      </c>
      <c r="D2554" s="1832">
        <v>6828065.0000000196</v>
      </c>
      <c r="E2554" s="1833">
        <v>0</v>
      </c>
      <c r="F2554" s="1834">
        <v>100</v>
      </c>
      <c r="G2554" s="1835">
        <v>0</v>
      </c>
    </row>
    <row r="2555" spans="1:7" x14ac:dyDescent="0.25">
      <c r="A2555" s="3353" t="s">
        <v>525</v>
      </c>
      <c r="B2555" s="3354"/>
      <c r="C2555" s="3354"/>
      <c r="D2555" s="3354"/>
      <c r="E2555" s="3354"/>
      <c r="F2555" s="3354"/>
      <c r="G2555" s="3354"/>
    </row>
    <row r="2556" spans="1:7" x14ac:dyDescent="0.25">
      <c r="A2556" s="11" t="s">
        <v>986</v>
      </c>
      <c r="B2556" s="11" t="s">
        <v>1062</v>
      </c>
      <c r="C2556" s="1844">
        <v>5939</v>
      </c>
      <c r="D2556" s="1844">
        <v>6666401.7230526097</v>
      </c>
      <c r="E2556" s="1845">
        <v>44165.668631850996</v>
      </c>
      <c r="F2556" s="1846">
        <v>97.632370562561903</v>
      </c>
      <c r="G2556" s="1847">
        <v>0.64682554474577003</v>
      </c>
    </row>
    <row r="2557" spans="1:7" x14ac:dyDescent="0.25">
      <c r="A2557" s="6" t="s">
        <v>984</v>
      </c>
      <c r="B2557" s="6" t="s">
        <v>1061</v>
      </c>
      <c r="C2557" s="1840">
        <v>142</v>
      </c>
      <c r="D2557" s="1840">
        <v>161663.27694741101</v>
      </c>
      <c r="E2557" s="1841">
        <v>44165.668631845198</v>
      </c>
      <c r="F2557" s="1842">
        <v>2.3676294374381399</v>
      </c>
      <c r="G2557" s="1843">
        <v>0.64682554474577003</v>
      </c>
    </row>
    <row r="2558" spans="1:7" x14ac:dyDescent="0.25">
      <c r="A2558" s="11" t="s">
        <v>6293</v>
      </c>
      <c r="B2558" s="11" t="s">
        <v>6294</v>
      </c>
      <c r="C2558" s="1844">
        <v>6081</v>
      </c>
      <c r="D2558" s="1844">
        <v>6828065.0000000196</v>
      </c>
      <c r="E2558" s="1845">
        <v>1.6626874861525999E-7</v>
      </c>
      <c r="F2558" s="1846">
        <v>100</v>
      </c>
      <c r="G2558" s="1847">
        <v>0</v>
      </c>
    </row>
    <row r="2559" spans="1:7" x14ac:dyDescent="0.25">
      <c r="A2559" s="6" t="s">
        <v>6293</v>
      </c>
      <c r="B2559" s="6" t="s">
        <v>6295</v>
      </c>
      <c r="C2559" s="1840">
        <v>6081</v>
      </c>
      <c r="D2559" s="1840">
        <v>6828065.0000000196</v>
      </c>
      <c r="E2559" s="1841">
        <v>0</v>
      </c>
      <c r="F2559" s="1842">
        <v>100</v>
      </c>
      <c r="G2559" s="1843">
        <v>0</v>
      </c>
    </row>
    <row r="2560" spans="1:7" x14ac:dyDescent="0.25">
      <c r="A2560" s="3353" t="s">
        <v>930</v>
      </c>
      <c r="B2560" s="3354"/>
      <c r="C2560" s="3354"/>
      <c r="D2560" s="3354"/>
      <c r="E2560" s="3354"/>
      <c r="F2560" s="3354"/>
      <c r="G2560" s="3354"/>
    </row>
    <row r="2561" spans="1:7" x14ac:dyDescent="0.25">
      <c r="A2561" s="11" t="s">
        <v>984</v>
      </c>
      <c r="B2561" s="11" t="s">
        <v>1061</v>
      </c>
      <c r="C2561" s="1852">
        <v>2237</v>
      </c>
      <c r="D2561" s="1852">
        <v>3046504.2222648999</v>
      </c>
      <c r="E2561" s="1853">
        <v>64024.615375828304</v>
      </c>
      <c r="F2561" s="1854">
        <v>56.749607060179898</v>
      </c>
      <c r="G2561" s="1855">
        <v>1.13935398912743</v>
      </c>
    </row>
    <row r="2562" spans="1:7" x14ac:dyDescent="0.25">
      <c r="A2562" s="6" t="s">
        <v>986</v>
      </c>
      <c r="B2562" s="6" t="s">
        <v>1062</v>
      </c>
      <c r="C2562" s="1848">
        <v>3149</v>
      </c>
      <c r="D2562" s="1848">
        <v>2321822.3267352502</v>
      </c>
      <c r="E2562" s="1849">
        <v>60948.848852630297</v>
      </c>
      <c r="F2562" s="1850">
        <v>43.250392939820102</v>
      </c>
      <c r="G2562" s="1851">
        <v>1.13935398912743</v>
      </c>
    </row>
    <row r="2563" spans="1:7" x14ac:dyDescent="0.25">
      <c r="A2563" s="11" t="s">
        <v>982</v>
      </c>
      <c r="B2563" s="11" t="s">
        <v>983</v>
      </c>
      <c r="C2563" s="1852">
        <v>695</v>
      </c>
      <c r="D2563" s="1852">
        <v>1459738.4509998499</v>
      </c>
      <c r="E2563" s="1853">
        <v>23352.768441193501</v>
      </c>
      <c r="F2563" s="1854">
        <v>100</v>
      </c>
      <c r="G2563" s="1855">
        <v>0</v>
      </c>
    </row>
    <row r="2564" spans="1:7" x14ac:dyDescent="0.25">
      <c r="A2564" s="6" t="s">
        <v>6293</v>
      </c>
      <c r="B2564" s="6" t="s">
        <v>6294</v>
      </c>
      <c r="C2564" s="1848">
        <v>5386</v>
      </c>
      <c r="D2564" s="1848">
        <v>5368326.5490001496</v>
      </c>
      <c r="E2564" s="1849">
        <v>23352.768441191001</v>
      </c>
      <c r="F2564" s="1850">
        <v>78.621491579241706</v>
      </c>
      <c r="G2564" s="1851">
        <v>0.34201151338180302</v>
      </c>
    </row>
    <row r="2565" spans="1:7" x14ac:dyDescent="0.25">
      <c r="A2565" s="11" t="s">
        <v>6293</v>
      </c>
      <c r="B2565" s="11" t="s">
        <v>6295</v>
      </c>
      <c r="C2565" s="1852">
        <v>6081</v>
      </c>
      <c r="D2565" s="1852">
        <v>6828065</v>
      </c>
      <c r="E2565" s="1853">
        <v>0</v>
      </c>
      <c r="F2565" s="1854">
        <v>100</v>
      </c>
      <c r="G2565" s="1855">
        <v>0</v>
      </c>
    </row>
    <row r="2566" spans="1:7" x14ac:dyDescent="0.25">
      <c r="A2566" s="3353" t="s">
        <v>138</v>
      </c>
      <c r="B2566" s="3354"/>
      <c r="C2566" s="3354"/>
      <c r="D2566" s="3354"/>
      <c r="E2566" s="3354"/>
      <c r="F2566" s="3354"/>
      <c r="G2566" s="3354"/>
    </row>
    <row r="2567" spans="1:7" x14ac:dyDescent="0.25">
      <c r="A2567" s="11" t="s">
        <v>984</v>
      </c>
      <c r="B2567" s="11" t="s">
        <v>1061</v>
      </c>
      <c r="C2567" s="1860">
        <v>3984</v>
      </c>
      <c r="D2567" s="1860">
        <v>4511152.7789924303</v>
      </c>
      <c r="E2567" s="1861">
        <v>94098.6803592988</v>
      </c>
      <c r="F2567" s="1862">
        <v>66.067806603956299</v>
      </c>
      <c r="G2567" s="1863">
        <v>1.37811635301201</v>
      </c>
    </row>
    <row r="2568" spans="1:7" x14ac:dyDescent="0.25">
      <c r="A2568" s="6" t="s">
        <v>986</v>
      </c>
      <c r="B2568" s="6" t="s">
        <v>1062</v>
      </c>
      <c r="C2568" s="1856">
        <v>2097</v>
      </c>
      <c r="D2568" s="1856">
        <v>2316912.2210075702</v>
      </c>
      <c r="E2568" s="1857">
        <v>94098.680359284204</v>
      </c>
      <c r="F2568" s="1858">
        <v>33.932193396043701</v>
      </c>
      <c r="G2568" s="1859">
        <v>1.378116353012</v>
      </c>
    </row>
    <row r="2569" spans="1:7" x14ac:dyDescent="0.25">
      <c r="A2569" s="11" t="s">
        <v>6293</v>
      </c>
      <c r="B2569" s="11" t="s">
        <v>6294</v>
      </c>
      <c r="C2569" s="1860">
        <v>6081</v>
      </c>
      <c r="D2569" s="1860">
        <v>6828064.9999999898</v>
      </c>
      <c r="E2569" s="1861">
        <v>6.4154153065679907E-8</v>
      </c>
      <c r="F2569" s="1862">
        <v>100</v>
      </c>
      <c r="G2569" s="1863">
        <v>1.45362315675074E-14</v>
      </c>
    </row>
    <row r="2570" spans="1:7" x14ac:dyDescent="0.25">
      <c r="A2570" s="6" t="s">
        <v>6293</v>
      </c>
      <c r="B2570" s="6" t="s">
        <v>6295</v>
      </c>
      <c r="C2570" s="1856">
        <v>6081</v>
      </c>
      <c r="D2570" s="1856">
        <v>6828064.9999999898</v>
      </c>
      <c r="E2570" s="1857">
        <v>0</v>
      </c>
      <c r="F2570" s="1858">
        <v>100</v>
      </c>
      <c r="G2570" s="1859">
        <v>0</v>
      </c>
    </row>
    <row r="2571" spans="1:7" x14ac:dyDescent="0.25">
      <c r="A2571" s="3353" t="s">
        <v>481</v>
      </c>
      <c r="B2571" s="3354"/>
      <c r="C2571" s="3354"/>
      <c r="D2571" s="3354"/>
      <c r="E2571" s="3354"/>
      <c r="F2571" s="3354"/>
      <c r="G2571" s="3354"/>
    </row>
    <row r="2572" spans="1:7" x14ac:dyDescent="0.25">
      <c r="A2572" s="11" t="s">
        <v>986</v>
      </c>
      <c r="B2572" s="11" t="s">
        <v>1062</v>
      </c>
      <c r="C2572" s="1868">
        <v>6050</v>
      </c>
      <c r="D2572" s="1868">
        <v>6795446.0474428898</v>
      </c>
      <c r="E2572" s="1869">
        <v>14138.1541351572</v>
      </c>
      <c r="F2572" s="1870">
        <v>99.522281165203793</v>
      </c>
      <c r="G2572" s="1871">
        <v>0.20705945440129001</v>
      </c>
    </row>
    <row r="2573" spans="1:7" x14ac:dyDescent="0.25">
      <c r="A2573" s="6" t="s">
        <v>984</v>
      </c>
      <c r="B2573" s="6" t="s">
        <v>1061</v>
      </c>
      <c r="C2573" s="1864">
        <v>31</v>
      </c>
      <c r="D2573" s="1864">
        <v>32618.952557125001</v>
      </c>
      <c r="E2573" s="1865">
        <v>14138.1541351655</v>
      </c>
      <c r="F2573" s="1866">
        <v>0.477718834796168</v>
      </c>
      <c r="G2573" s="1867">
        <v>0.20705945440129001</v>
      </c>
    </row>
    <row r="2574" spans="1:7" x14ac:dyDescent="0.25">
      <c r="A2574" s="11" t="s">
        <v>6293</v>
      </c>
      <c r="B2574" s="11" t="s">
        <v>6294</v>
      </c>
      <c r="C2574" s="1868">
        <v>6081</v>
      </c>
      <c r="D2574" s="1868">
        <v>6828065.0000000102</v>
      </c>
      <c r="E2574" s="1869">
        <v>1.63759244670722E-7</v>
      </c>
      <c r="F2574" s="1870">
        <v>100</v>
      </c>
      <c r="G2574" s="1871">
        <v>9.4205547521026494E-14</v>
      </c>
    </row>
    <row r="2575" spans="1:7" x14ac:dyDescent="0.25">
      <c r="A2575" s="6" t="s">
        <v>6293</v>
      </c>
      <c r="B2575" s="6" t="s">
        <v>6295</v>
      </c>
      <c r="C2575" s="1864">
        <v>6081</v>
      </c>
      <c r="D2575" s="1864">
        <v>6828065.0000000102</v>
      </c>
      <c r="E2575" s="1865">
        <v>0</v>
      </c>
      <c r="F2575" s="1866">
        <v>100</v>
      </c>
      <c r="G2575" s="1867">
        <v>0</v>
      </c>
    </row>
    <row r="2576" spans="1:7" x14ac:dyDescent="0.25">
      <c r="A2576" s="3353" t="s">
        <v>191</v>
      </c>
      <c r="B2576" s="3354"/>
      <c r="C2576" s="3354"/>
      <c r="D2576" s="3354"/>
      <c r="E2576" s="3354"/>
      <c r="F2576" s="3354"/>
      <c r="G2576" s="3354"/>
    </row>
    <row r="2577" spans="1:7" x14ac:dyDescent="0.25">
      <c r="A2577" s="11" t="s">
        <v>984</v>
      </c>
      <c r="B2577" s="11" t="s">
        <v>1061</v>
      </c>
      <c r="C2577" s="1876">
        <v>5475</v>
      </c>
      <c r="D2577" s="1876">
        <v>6000992.5273385998</v>
      </c>
      <c r="E2577" s="1877">
        <v>43948.281651862402</v>
      </c>
      <c r="F2577" s="1878">
        <v>94.011121273925895</v>
      </c>
      <c r="G2577" s="1879">
        <v>0.708738917193797</v>
      </c>
    </row>
    <row r="2578" spans="1:7" x14ac:dyDescent="0.25">
      <c r="A2578" s="6" t="s">
        <v>986</v>
      </c>
      <c r="B2578" s="6" t="s">
        <v>1062</v>
      </c>
      <c r="C2578" s="1872">
        <v>397</v>
      </c>
      <c r="D2578" s="1872">
        <v>382286.86133409297</v>
      </c>
      <c r="E2578" s="1873">
        <v>45394.969051577602</v>
      </c>
      <c r="F2578" s="1874">
        <v>5.9888787260741196</v>
      </c>
      <c r="G2578" s="1875">
        <v>0.708738917193799</v>
      </c>
    </row>
    <row r="2579" spans="1:7" x14ac:dyDescent="0.25">
      <c r="A2579" s="11" t="s">
        <v>996</v>
      </c>
      <c r="B2579" s="11" t="s">
        <v>997</v>
      </c>
      <c r="C2579" s="1876">
        <v>205</v>
      </c>
      <c r="D2579" s="1876">
        <v>430050.28747702402</v>
      </c>
      <c r="E2579" s="1877">
        <v>208.52179207014501</v>
      </c>
      <c r="F2579" s="1878">
        <v>96.687095203839107</v>
      </c>
      <c r="G2579" s="1879">
        <v>2.4426005156412098</v>
      </c>
    </row>
    <row r="2580" spans="1:7" x14ac:dyDescent="0.25">
      <c r="A2580" s="6" t="s">
        <v>978</v>
      </c>
      <c r="B2580" s="6"/>
      <c r="C2580" s="1872">
        <v>2</v>
      </c>
      <c r="D2580" s="1872">
        <v>10012.146089808</v>
      </c>
      <c r="E2580" s="1873">
        <v>9903.2599508947605</v>
      </c>
      <c r="F2580" s="1874">
        <v>2.2510049414435702</v>
      </c>
      <c r="G2580" s="1875">
        <v>2.2110619976776702</v>
      </c>
    </row>
    <row r="2581" spans="1:7" x14ac:dyDescent="0.25">
      <c r="A2581" s="11" t="s">
        <v>980</v>
      </c>
      <c r="B2581" s="11"/>
      <c r="C2581" s="1876">
        <v>2</v>
      </c>
      <c r="D2581" s="1876">
        <v>4723.1777604883</v>
      </c>
      <c r="E2581" s="1877">
        <v>4475.3946168544699</v>
      </c>
      <c r="F2581" s="1878">
        <v>1.06189985471731</v>
      </c>
      <c r="G2581" s="1879">
        <v>1.00284304731086</v>
      </c>
    </row>
    <row r="2582" spans="1:7" x14ac:dyDescent="0.25">
      <c r="A2582" s="6" t="s">
        <v>6293</v>
      </c>
      <c r="B2582" s="6" t="s">
        <v>6294</v>
      </c>
      <c r="C2582" s="1872">
        <v>5872</v>
      </c>
      <c r="D2582" s="1872">
        <v>6383279.3886726899</v>
      </c>
      <c r="E2582" s="1873">
        <v>11047.0870918783</v>
      </c>
      <c r="F2582" s="1874">
        <v>93.485920076517701</v>
      </c>
      <c r="G2582" s="1875">
        <v>0.16178942484978101</v>
      </c>
    </row>
    <row r="2583" spans="1:7" x14ac:dyDescent="0.25">
      <c r="A2583" s="11" t="s">
        <v>6293</v>
      </c>
      <c r="B2583" s="11" t="s">
        <v>6295</v>
      </c>
      <c r="C2583" s="1876">
        <v>6081</v>
      </c>
      <c r="D2583" s="1876">
        <v>6828065.0000000102</v>
      </c>
      <c r="E2583" s="1877">
        <v>0</v>
      </c>
      <c r="F2583" s="1878">
        <v>100</v>
      </c>
      <c r="G2583" s="1879">
        <v>0</v>
      </c>
    </row>
    <row r="2584" spans="1:7" x14ac:dyDescent="0.25">
      <c r="A2584" s="3353" t="s">
        <v>193</v>
      </c>
      <c r="B2584" s="3354"/>
      <c r="C2584" s="3354"/>
      <c r="D2584" s="3354"/>
      <c r="E2584" s="3354"/>
      <c r="F2584" s="3354"/>
      <c r="G2584" s="3354"/>
    </row>
    <row r="2585" spans="1:7" x14ac:dyDescent="0.25">
      <c r="A2585" s="11" t="s">
        <v>984</v>
      </c>
      <c r="B2585" s="11" t="s">
        <v>1061</v>
      </c>
      <c r="C2585" s="1884">
        <v>5456</v>
      </c>
      <c r="D2585" s="1884">
        <v>6042262.4096096205</v>
      </c>
      <c r="E2585" s="1885">
        <v>25734.532285497298</v>
      </c>
      <c r="F2585" s="1886">
        <v>88.491577183427694</v>
      </c>
      <c r="G2585" s="1887">
        <v>0.37689348718114102</v>
      </c>
    </row>
    <row r="2586" spans="1:7" x14ac:dyDescent="0.25">
      <c r="A2586" s="6" t="s">
        <v>986</v>
      </c>
      <c r="B2586" s="6" t="s">
        <v>1062</v>
      </c>
      <c r="C2586" s="1880">
        <v>625</v>
      </c>
      <c r="D2586" s="1880">
        <v>785802.59039038699</v>
      </c>
      <c r="E2586" s="1881">
        <v>25734.532285494301</v>
      </c>
      <c r="F2586" s="1882">
        <v>11.508422816572301</v>
      </c>
      <c r="G2586" s="1883">
        <v>0.37689348718113602</v>
      </c>
    </row>
    <row r="2587" spans="1:7" x14ac:dyDescent="0.25">
      <c r="A2587" s="11" t="s">
        <v>6293</v>
      </c>
      <c r="B2587" s="11" t="s">
        <v>6294</v>
      </c>
      <c r="C2587" s="1884">
        <v>6081</v>
      </c>
      <c r="D2587" s="1884">
        <v>6828065.0000000102</v>
      </c>
      <c r="E2587" s="1885">
        <v>1.1036972440823E-7</v>
      </c>
      <c r="F2587" s="1886">
        <v>100</v>
      </c>
      <c r="G2587" s="1887">
        <v>0</v>
      </c>
    </row>
    <row r="2588" spans="1:7" x14ac:dyDescent="0.25">
      <c r="A2588" s="6" t="s">
        <v>6293</v>
      </c>
      <c r="B2588" s="6" t="s">
        <v>6295</v>
      </c>
      <c r="C2588" s="1880">
        <v>6081</v>
      </c>
      <c r="D2588" s="1880">
        <v>6828065.0000000102</v>
      </c>
      <c r="E2588" s="1881">
        <v>0</v>
      </c>
      <c r="F2588" s="1882">
        <v>100</v>
      </c>
      <c r="G2588" s="1883">
        <v>0</v>
      </c>
    </row>
    <row r="2589" spans="1:7" x14ac:dyDescent="0.25">
      <c r="A2589" s="3353" t="s">
        <v>106</v>
      </c>
      <c r="B2589" s="3354"/>
      <c r="C2589" s="3354"/>
      <c r="D2589" s="3354"/>
      <c r="E2589" s="3354"/>
      <c r="F2589" s="3354"/>
      <c r="G2589" s="3354"/>
    </row>
    <row r="2590" spans="1:7" x14ac:dyDescent="0.25">
      <c r="A2590" s="11" t="s">
        <v>6298</v>
      </c>
      <c r="B2590" s="11"/>
      <c r="C2590" s="1892">
        <v>1331</v>
      </c>
      <c r="D2590" s="1892">
        <v>1578634.0003828399</v>
      </c>
      <c r="E2590" s="1893">
        <v>60628.835455906898</v>
      </c>
      <c r="F2590" s="1894">
        <v>24.6730762459045</v>
      </c>
      <c r="G2590" s="1895">
        <v>0.94759136308458503</v>
      </c>
    </row>
    <row r="2591" spans="1:7" x14ac:dyDescent="0.25">
      <c r="A2591" s="6" t="s">
        <v>6300</v>
      </c>
      <c r="B2591" s="6"/>
      <c r="C2591" s="1888">
        <v>913</v>
      </c>
      <c r="D2591" s="1888">
        <v>1085461.8129748499</v>
      </c>
      <c r="E2591" s="1889">
        <v>73606.591665893196</v>
      </c>
      <c r="F2591" s="1890">
        <v>16.965098982443902</v>
      </c>
      <c r="G2591" s="1891">
        <v>1.15042564032881</v>
      </c>
    </row>
    <row r="2592" spans="1:7" x14ac:dyDescent="0.25">
      <c r="A2592" s="11" t="s">
        <v>1174</v>
      </c>
      <c r="B2592" s="11"/>
      <c r="C2592" s="1892">
        <v>1118</v>
      </c>
      <c r="D2592" s="1892">
        <v>1052109.77138769</v>
      </c>
      <c r="E2592" s="1893">
        <v>59090.1269498084</v>
      </c>
      <c r="F2592" s="1894">
        <v>16.443827132960699</v>
      </c>
      <c r="G2592" s="1895">
        <v>0.92354225073658902</v>
      </c>
    </row>
    <row r="2593" spans="1:7" x14ac:dyDescent="0.25">
      <c r="A2593" s="6" t="s">
        <v>6297</v>
      </c>
      <c r="B2593" s="6"/>
      <c r="C2593" s="1888">
        <v>693</v>
      </c>
      <c r="D2593" s="1888">
        <v>851105.89476777695</v>
      </c>
      <c r="E2593" s="1889">
        <v>41687.5384645128</v>
      </c>
      <c r="F2593" s="1890">
        <v>13.3022604541974</v>
      </c>
      <c r="G2593" s="1891">
        <v>0.65155052079477904</v>
      </c>
    </row>
    <row r="2594" spans="1:7" x14ac:dyDescent="0.25">
      <c r="A2594" s="11" t="s">
        <v>6299</v>
      </c>
      <c r="B2594" s="11"/>
      <c r="C2594" s="1892">
        <v>535</v>
      </c>
      <c r="D2594" s="1892">
        <v>555617.17773329699</v>
      </c>
      <c r="E2594" s="1893">
        <v>47384.3480357218</v>
      </c>
      <c r="F2594" s="1894">
        <v>8.6839539667987502</v>
      </c>
      <c r="G2594" s="1895">
        <v>0.74058815121306198</v>
      </c>
    </row>
    <row r="2595" spans="1:7" x14ac:dyDescent="0.25">
      <c r="A2595" s="6" t="s">
        <v>6301</v>
      </c>
      <c r="B2595" s="6"/>
      <c r="C2595" s="1888">
        <v>409</v>
      </c>
      <c r="D2595" s="1888">
        <v>372414.92543271102</v>
      </c>
      <c r="E2595" s="1889">
        <v>43042.182510678598</v>
      </c>
      <c r="F2595" s="1890">
        <v>5.8206157019839804</v>
      </c>
      <c r="G2595" s="1891">
        <v>0.67272278616473702</v>
      </c>
    </row>
    <row r="2596" spans="1:7" x14ac:dyDescent="0.25">
      <c r="A2596" s="11" t="s">
        <v>6302</v>
      </c>
      <c r="B2596" s="11"/>
      <c r="C2596" s="1892">
        <v>272</v>
      </c>
      <c r="D2596" s="1892">
        <v>320692.55004337302</v>
      </c>
      <c r="E2596" s="1893">
        <v>29947.0538108742</v>
      </c>
      <c r="F2596" s="1894">
        <v>5.0122268599275204</v>
      </c>
      <c r="G2596" s="1895">
        <v>0.46805399169772799</v>
      </c>
    </row>
    <row r="2597" spans="1:7" x14ac:dyDescent="0.25">
      <c r="A2597" s="6" t="s">
        <v>6303</v>
      </c>
      <c r="B2597" s="6"/>
      <c r="C2597" s="1888">
        <v>188</v>
      </c>
      <c r="D2597" s="1888">
        <v>190956.49271942701</v>
      </c>
      <c r="E2597" s="1889">
        <v>27305.321473879801</v>
      </c>
      <c r="F2597" s="1890">
        <v>2.9845322623067401</v>
      </c>
      <c r="G2597" s="1891">
        <v>0.42676534164604002</v>
      </c>
    </row>
    <row r="2598" spans="1:7" x14ac:dyDescent="0.25">
      <c r="A2598" s="11" t="s">
        <v>6296</v>
      </c>
      <c r="B2598" s="11"/>
      <c r="C2598" s="1892">
        <v>162</v>
      </c>
      <c r="D2598" s="1892">
        <v>143310.076025936</v>
      </c>
      <c r="E2598" s="1893">
        <v>40333.725027427201</v>
      </c>
      <c r="F2598" s="1894">
        <v>2.2398481419612102</v>
      </c>
      <c r="G2598" s="1895">
        <v>0.63039125610198299</v>
      </c>
    </row>
    <row r="2599" spans="1:7" x14ac:dyDescent="0.25">
      <c r="A2599" s="6" t="s">
        <v>6304</v>
      </c>
      <c r="B2599" s="6"/>
      <c r="C2599" s="1888">
        <v>102</v>
      </c>
      <c r="D2599" s="1888">
        <v>93995.188088319395</v>
      </c>
      <c r="E2599" s="1889">
        <v>20442.568847631999</v>
      </c>
      <c r="F2599" s="1890">
        <v>1.46908684463202</v>
      </c>
      <c r="G2599" s="1891">
        <v>0.319504748199885</v>
      </c>
    </row>
    <row r="2600" spans="1:7" x14ac:dyDescent="0.25">
      <c r="A2600" s="11" t="s">
        <v>1017</v>
      </c>
      <c r="B2600" s="11"/>
      <c r="C2600" s="1892">
        <v>67</v>
      </c>
      <c r="D2600" s="1892">
        <v>86106.470328395299</v>
      </c>
      <c r="E2600" s="1893">
        <v>20395.031055195901</v>
      </c>
      <c r="F2600" s="1894">
        <v>1.3457910492001299</v>
      </c>
      <c r="G2600" s="1895">
        <v>0.31876176309549198</v>
      </c>
    </row>
    <row r="2601" spans="1:7" x14ac:dyDescent="0.25">
      <c r="A2601" s="6" t="s">
        <v>1021</v>
      </c>
      <c r="B2601" s="6"/>
      <c r="C2601" s="1888">
        <v>24</v>
      </c>
      <c r="D2601" s="1888">
        <v>34019.737263542498</v>
      </c>
      <c r="E2601" s="1889">
        <v>14790.0573725911</v>
      </c>
      <c r="F2601" s="1890">
        <v>0.53170752129085297</v>
      </c>
      <c r="G2601" s="1891">
        <v>0.23115947972077699</v>
      </c>
    </row>
    <row r="2602" spans="1:7" x14ac:dyDescent="0.25">
      <c r="A2602" s="11" t="s">
        <v>1019</v>
      </c>
      <c r="B2602" s="11"/>
      <c r="C2602" s="1892">
        <v>30</v>
      </c>
      <c r="D2602" s="1892">
        <v>18011.569454757599</v>
      </c>
      <c r="E2602" s="1893">
        <v>9448.18916370439</v>
      </c>
      <c r="F2602" s="1894">
        <v>0.281509726990465</v>
      </c>
      <c r="G2602" s="1895">
        <v>0.14766937221266899</v>
      </c>
    </row>
    <row r="2603" spans="1:7" x14ac:dyDescent="0.25">
      <c r="A2603" s="6" t="s">
        <v>1023</v>
      </c>
      <c r="B2603" s="6"/>
      <c r="C2603" s="1888">
        <v>10</v>
      </c>
      <c r="D2603" s="1888">
        <v>6468.5565450008298</v>
      </c>
      <c r="E2603" s="1889">
        <v>3739.6888008228402</v>
      </c>
      <c r="F2603" s="1890">
        <v>0.10109955112904299</v>
      </c>
      <c r="G2603" s="1891">
        <v>5.8449030633790103E-2</v>
      </c>
    </row>
    <row r="2604" spans="1:7" x14ac:dyDescent="0.25">
      <c r="A2604" s="11" t="s">
        <v>1025</v>
      </c>
      <c r="B2604" s="11"/>
      <c r="C2604" s="1892">
        <v>12</v>
      </c>
      <c r="D2604" s="1892">
        <v>4243.7864306597603</v>
      </c>
      <c r="E2604" s="1893">
        <v>1799.124979853</v>
      </c>
      <c r="F2604" s="1894">
        <v>6.6327765745328199E-2</v>
      </c>
      <c r="G2604" s="1895">
        <v>2.8119214404645002E-2</v>
      </c>
    </row>
    <row r="2605" spans="1:7" x14ac:dyDescent="0.25">
      <c r="A2605" s="6" t="s">
        <v>1071</v>
      </c>
      <c r="B2605" s="6"/>
      <c r="C2605" s="1888">
        <v>1</v>
      </c>
      <c r="D2605" s="1888">
        <v>2223.2733128121099</v>
      </c>
      <c r="E2605" s="1889">
        <v>2292.3968042870201</v>
      </c>
      <c r="F2605" s="1890">
        <v>3.4748391298549799E-2</v>
      </c>
      <c r="G2605" s="1891">
        <v>3.5828748919515097E-2</v>
      </c>
    </row>
    <row r="2606" spans="1:7" x14ac:dyDescent="0.25">
      <c r="A2606" s="11" t="s">
        <v>1031</v>
      </c>
      <c r="B2606" s="11"/>
      <c r="C2606" s="1892">
        <v>2</v>
      </c>
      <c r="D2606" s="1892">
        <v>1683.0756473030599</v>
      </c>
      <c r="E2606" s="1893">
        <v>1630.25032910868</v>
      </c>
      <c r="F2606" s="1894">
        <v>2.6305434802153499E-2</v>
      </c>
      <c r="G2606" s="1895">
        <v>2.5479807682164402E-2</v>
      </c>
    </row>
    <row r="2607" spans="1:7" x14ac:dyDescent="0.25">
      <c r="A2607" s="6" t="s">
        <v>1027</v>
      </c>
      <c r="B2607" s="6"/>
      <c r="C2607" s="1888">
        <v>5</v>
      </c>
      <c r="D2607" s="1888">
        <v>617.44141994361996</v>
      </c>
      <c r="E2607" s="1889">
        <v>297.477499818365</v>
      </c>
      <c r="F2607" s="1890">
        <v>9.6502287597720598E-3</v>
      </c>
      <c r="G2607" s="1891">
        <v>4.64938994053209E-3</v>
      </c>
    </row>
    <row r="2608" spans="1:7" x14ac:dyDescent="0.25">
      <c r="A2608" s="11" t="s">
        <v>1177</v>
      </c>
      <c r="B2608" s="11"/>
      <c r="C2608" s="1892">
        <v>1</v>
      </c>
      <c r="D2608" s="1892">
        <v>373.024955336978</v>
      </c>
      <c r="E2608" s="1893">
        <v>373.45508997456801</v>
      </c>
      <c r="F2608" s="1894">
        <v>5.8301500933226899E-3</v>
      </c>
      <c r="G2608" s="1895">
        <v>5.8368728398030898E-3</v>
      </c>
    </row>
    <row r="2609" spans="1:7" x14ac:dyDescent="0.25">
      <c r="A2609" s="6" t="s">
        <v>1029</v>
      </c>
      <c r="B2609" s="6"/>
      <c r="C2609" s="1888">
        <v>2</v>
      </c>
      <c r="D2609" s="1888">
        <v>160.184665559921</v>
      </c>
      <c r="E2609" s="1889">
        <v>122.790189357589</v>
      </c>
      <c r="F2609" s="1890">
        <v>2.5035875737036998E-3</v>
      </c>
      <c r="G2609" s="1891">
        <v>1.9191349664410601E-3</v>
      </c>
    </row>
    <row r="2610" spans="1:7" x14ac:dyDescent="0.25">
      <c r="A2610" s="11" t="s">
        <v>982</v>
      </c>
      <c r="B2610" s="11"/>
      <c r="C2610" s="1892">
        <v>204</v>
      </c>
      <c r="D2610" s="1892">
        <v>429859.990420477</v>
      </c>
      <c r="E2610" s="1893">
        <v>8.2760638930812896E-2</v>
      </c>
      <c r="F2610" s="1894">
        <v>100</v>
      </c>
      <c r="G2610" s="1895">
        <v>0</v>
      </c>
    </row>
    <row r="2611" spans="1:7" x14ac:dyDescent="0.25">
      <c r="A2611" s="6" t="s">
        <v>6293</v>
      </c>
      <c r="B2611" s="6" t="s">
        <v>6294</v>
      </c>
      <c r="C2611" s="1888">
        <v>5877</v>
      </c>
      <c r="D2611" s="1888">
        <v>6398205.00957953</v>
      </c>
      <c r="E2611" s="1889">
        <v>8.2760679527643197E-2</v>
      </c>
      <c r="F2611" s="1890">
        <v>93.704512326398799</v>
      </c>
      <c r="G2611" s="1891">
        <v>1.2120658521969699E-6</v>
      </c>
    </row>
    <row r="2612" spans="1:7" x14ac:dyDescent="0.25">
      <c r="A2612" s="11" t="s">
        <v>6293</v>
      </c>
      <c r="B2612" s="11" t="s">
        <v>6295</v>
      </c>
      <c r="C2612" s="1892">
        <v>6081</v>
      </c>
      <c r="D2612" s="1892">
        <v>6828065</v>
      </c>
      <c r="E2612" s="1893">
        <v>0</v>
      </c>
      <c r="F2612" s="1894">
        <v>100</v>
      </c>
      <c r="G2612" s="1895">
        <v>0</v>
      </c>
    </row>
    <row r="2613" spans="1:7" x14ac:dyDescent="0.25">
      <c r="A2613" s="3353" t="s">
        <v>211</v>
      </c>
      <c r="B2613" s="3354"/>
      <c r="C2613" s="3354"/>
      <c r="D2613" s="3354"/>
      <c r="E2613" s="3354"/>
      <c r="F2613" s="3354"/>
      <c r="G2613" s="3354"/>
    </row>
    <row r="2614" spans="1:7" x14ac:dyDescent="0.25">
      <c r="A2614" s="11" t="s">
        <v>996</v>
      </c>
      <c r="B2614" s="11" t="s">
        <v>997</v>
      </c>
      <c r="C2614" s="1900">
        <v>4112</v>
      </c>
      <c r="D2614" s="1900">
        <v>3985597.4607757302</v>
      </c>
      <c r="E2614" s="1901">
        <v>74764.842040962001</v>
      </c>
      <c r="F2614" s="1902">
        <v>90.264655583896001</v>
      </c>
      <c r="G2614" s="1903">
        <v>0.16459852562487701</v>
      </c>
    </row>
    <row r="2615" spans="1:7" x14ac:dyDescent="0.25">
      <c r="A2615" s="6" t="s">
        <v>982</v>
      </c>
      <c r="B2615" s="6"/>
      <c r="C2615" s="1896">
        <v>204</v>
      </c>
      <c r="D2615" s="1896">
        <v>429859.990420477</v>
      </c>
      <c r="E2615" s="1897">
        <v>8.2760638930812896E-2</v>
      </c>
      <c r="F2615" s="1898">
        <v>9.7353444161039704</v>
      </c>
      <c r="G2615" s="1899">
        <v>0.16459852562487701</v>
      </c>
    </row>
    <row r="2616" spans="1:7" x14ac:dyDescent="0.25">
      <c r="A2616" s="11" t="s">
        <v>6293</v>
      </c>
      <c r="B2616" s="11" t="s">
        <v>6294</v>
      </c>
      <c r="C2616" s="1900">
        <v>1587</v>
      </c>
      <c r="D2616" s="1900">
        <v>2412607.54880379</v>
      </c>
      <c r="E2616" s="1901">
        <v>74764.839342455103</v>
      </c>
      <c r="F2616" s="1902">
        <v>35.333693349489103</v>
      </c>
      <c r="G2616" s="1903">
        <v>1.0949637905095699</v>
      </c>
    </row>
    <row r="2617" spans="1:7" x14ac:dyDescent="0.25">
      <c r="A2617" s="6" t="s">
        <v>6293</v>
      </c>
      <c r="B2617" s="6" t="s">
        <v>6295</v>
      </c>
      <c r="C2617" s="1896">
        <v>5903</v>
      </c>
      <c r="D2617" s="1896">
        <v>6828065</v>
      </c>
      <c r="E2617" s="1897">
        <v>0</v>
      </c>
      <c r="F2617" s="1898">
        <v>100</v>
      </c>
      <c r="G2617" s="1899">
        <v>0</v>
      </c>
    </row>
    <row r="2618" spans="1:7" x14ac:dyDescent="0.25">
      <c r="A2618" s="3353" t="s">
        <v>924</v>
      </c>
      <c r="B2618" s="3354"/>
      <c r="C2618" s="3354"/>
      <c r="D2618" s="3354"/>
      <c r="E2618" s="3354"/>
      <c r="F2618" s="3354"/>
      <c r="G2618" s="3354"/>
    </row>
    <row r="2619" spans="1:7" x14ac:dyDescent="0.25">
      <c r="A2619" s="11" t="s">
        <v>990</v>
      </c>
      <c r="B2619" s="11" t="s">
        <v>3035</v>
      </c>
      <c r="C2619" s="1908">
        <v>1719</v>
      </c>
      <c r="D2619" s="1908">
        <v>2363909.9381223298</v>
      </c>
      <c r="E2619" s="1909">
        <v>74802.002858305903</v>
      </c>
      <c r="F2619" s="1910">
        <v>98.207381561957504</v>
      </c>
      <c r="G2619" s="1911">
        <v>0.618404672208132</v>
      </c>
    </row>
    <row r="2620" spans="1:7" x14ac:dyDescent="0.25">
      <c r="A2620" s="6" t="s">
        <v>3077</v>
      </c>
      <c r="B2620" s="6" t="s">
        <v>3078</v>
      </c>
      <c r="C2620" s="1904">
        <v>2</v>
      </c>
      <c r="D2620" s="1904">
        <v>9368.7157201853606</v>
      </c>
      <c r="E2620" s="1905">
        <v>9546.6065698011298</v>
      </c>
      <c r="F2620" s="1906">
        <v>0.38921831354056502</v>
      </c>
      <c r="G2620" s="1907">
        <v>0.39989702471400601</v>
      </c>
    </row>
    <row r="2621" spans="1:7" x14ac:dyDescent="0.25">
      <c r="A2621" s="11" t="s">
        <v>994</v>
      </c>
      <c r="B2621" s="11" t="s">
        <v>3037</v>
      </c>
      <c r="C2621" s="1908">
        <v>13</v>
      </c>
      <c r="D2621" s="1908">
        <v>9197.7740765541093</v>
      </c>
      <c r="E2621" s="1909">
        <v>5536.9439507204797</v>
      </c>
      <c r="F2621" s="1910">
        <v>0.38211663384025601</v>
      </c>
      <c r="G2621" s="1911">
        <v>0.22788652396787701</v>
      </c>
    </row>
    <row r="2622" spans="1:7" x14ac:dyDescent="0.25">
      <c r="A2622" s="6" t="s">
        <v>3091</v>
      </c>
      <c r="B2622" s="6" t="s">
        <v>3092</v>
      </c>
      <c r="C2622" s="1904">
        <v>3</v>
      </c>
      <c r="D2622" s="1904">
        <v>8956.7539661543105</v>
      </c>
      <c r="E2622" s="1905">
        <v>8020.2448341731097</v>
      </c>
      <c r="F2622" s="1906">
        <v>0.37210358149658701</v>
      </c>
      <c r="G2622" s="1907">
        <v>0.33081160640846702</v>
      </c>
    </row>
    <row r="2623" spans="1:7" x14ac:dyDescent="0.25">
      <c r="A2623" s="11" t="s">
        <v>1079</v>
      </c>
      <c r="B2623" s="11" t="s">
        <v>3066</v>
      </c>
      <c r="C2623" s="1908">
        <v>14</v>
      </c>
      <c r="D2623" s="1908">
        <v>5830.32665672445</v>
      </c>
      <c r="E2623" s="1909">
        <v>3521.9497746489601</v>
      </c>
      <c r="F2623" s="1910">
        <v>0.24221782115040999</v>
      </c>
      <c r="G2623" s="1911">
        <v>0.14582609887223999</v>
      </c>
    </row>
    <row r="2624" spans="1:7" x14ac:dyDescent="0.25">
      <c r="A2624" s="6" t="s">
        <v>1077</v>
      </c>
      <c r="B2624" s="6" t="s">
        <v>3065</v>
      </c>
      <c r="C2624" s="1904">
        <v>2</v>
      </c>
      <c r="D2624" s="1904">
        <v>5742.8615237657996</v>
      </c>
      <c r="E2624" s="1905">
        <v>5422.2418515175596</v>
      </c>
      <c r="F2624" s="1906">
        <v>0.23858412870413201</v>
      </c>
      <c r="G2624" s="1907">
        <v>0.22497183278299701</v>
      </c>
    </row>
    <row r="2625" spans="1:7" x14ac:dyDescent="0.25">
      <c r="A2625" s="11" t="s">
        <v>3083</v>
      </c>
      <c r="B2625" s="11" t="s">
        <v>3084</v>
      </c>
      <c r="C2625" s="1908">
        <v>1</v>
      </c>
      <c r="D2625" s="1908">
        <v>1610.03491751157</v>
      </c>
      <c r="E2625" s="1909">
        <v>1705.9261820168299</v>
      </c>
      <c r="F2625" s="1910">
        <v>6.6888044642566799E-2</v>
      </c>
      <c r="G2625" s="1911">
        <v>7.0954390785732804E-2</v>
      </c>
    </row>
    <row r="2626" spans="1:7" x14ac:dyDescent="0.25">
      <c r="A2626" s="6" t="s">
        <v>1013</v>
      </c>
      <c r="B2626" s="6" t="s">
        <v>3038</v>
      </c>
      <c r="C2626" s="1904">
        <v>2</v>
      </c>
      <c r="D2626" s="1904">
        <v>1506.0632228423401</v>
      </c>
      <c r="E2626" s="1905">
        <v>1371.9282035736801</v>
      </c>
      <c r="F2626" s="1906">
        <v>6.2568595866047294E-2</v>
      </c>
      <c r="G2626" s="1907">
        <v>5.6859747097785802E-2</v>
      </c>
    </row>
    <row r="2627" spans="1:7" x14ac:dyDescent="0.25">
      <c r="A2627" s="11" t="s">
        <v>3062</v>
      </c>
      <c r="B2627" s="11" t="s">
        <v>3063</v>
      </c>
      <c r="C2627" s="1908">
        <v>2</v>
      </c>
      <c r="D2627" s="1908">
        <v>731.26870982420201</v>
      </c>
      <c r="E2627" s="1909">
        <v>750.09493437422896</v>
      </c>
      <c r="F2627" s="1910">
        <v>3.03801697568351E-2</v>
      </c>
      <c r="G2627" s="1911">
        <v>3.1194859950689699E-2</v>
      </c>
    </row>
    <row r="2628" spans="1:7" x14ac:dyDescent="0.25">
      <c r="A2628" s="6" t="s">
        <v>3089</v>
      </c>
      <c r="B2628" s="6" t="s">
        <v>3090</v>
      </c>
      <c r="C2628" s="1904">
        <v>1</v>
      </c>
      <c r="D2628" s="1904">
        <v>86.049801002324699</v>
      </c>
      <c r="E2628" s="1905">
        <v>90.997482677082004</v>
      </c>
      <c r="F2628" s="1906">
        <v>3.5748932326407899E-3</v>
      </c>
      <c r="G2628" s="1907">
        <v>3.7912190451251898E-3</v>
      </c>
    </row>
    <row r="2629" spans="1:7" x14ac:dyDescent="0.25">
      <c r="A2629" s="11" t="s">
        <v>3054</v>
      </c>
      <c r="B2629" s="11" t="s">
        <v>3055</v>
      </c>
      <c r="C2629" s="1908">
        <v>1</v>
      </c>
      <c r="D2629" s="1908">
        <v>63.408874983724502</v>
      </c>
      <c r="E2629" s="1909">
        <v>65.773582407695201</v>
      </c>
      <c r="F2629" s="1910">
        <v>2.6342879986736801E-3</v>
      </c>
      <c r="G2629" s="1911">
        <v>2.7289524355188599E-3</v>
      </c>
    </row>
    <row r="2630" spans="1:7" x14ac:dyDescent="0.25">
      <c r="A2630" s="6" t="s">
        <v>1085</v>
      </c>
      <c r="B2630" s="6" t="s">
        <v>3080</v>
      </c>
      <c r="C2630" s="1904">
        <v>1</v>
      </c>
      <c r="D2630" s="1904">
        <v>56.131848775716698</v>
      </c>
      <c r="E2630" s="1905">
        <v>57.910040308048302</v>
      </c>
      <c r="F2630" s="1906">
        <v>2.3319678138303298E-3</v>
      </c>
      <c r="G2630" s="1907">
        <v>2.39631931690813E-3</v>
      </c>
    </row>
    <row r="2631" spans="1:7" x14ac:dyDescent="0.25">
      <c r="A2631" s="11" t="s">
        <v>996</v>
      </c>
      <c r="B2631" s="11" t="s">
        <v>997</v>
      </c>
      <c r="C2631" s="1908">
        <v>4115</v>
      </c>
      <c r="D2631" s="1908">
        <v>3991145.68213887</v>
      </c>
      <c r="E2631" s="1909">
        <v>77275.064828511895</v>
      </c>
      <c r="F2631" s="1910">
        <v>90.276873131184502</v>
      </c>
      <c r="G2631" s="1911">
        <v>0.169728665914052</v>
      </c>
    </row>
    <row r="2632" spans="1:7" x14ac:dyDescent="0.25">
      <c r="A2632" s="6" t="s">
        <v>982</v>
      </c>
      <c r="B2632" s="6"/>
      <c r="C2632" s="1904">
        <v>204</v>
      </c>
      <c r="D2632" s="1904">
        <v>429859.990420477</v>
      </c>
      <c r="E2632" s="1905">
        <v>8.2760638930812896E-2</v>
      </c>
      <c r="F2632" s="1906">
        <v>9.7231268688155197</v>
      </c>
      <c r="G2632" s="1907">
        <v>0.16972866591405</v>
      </c>
    </row>
    <row r="2633" spans="1:7" x14ac:dyDescent="0.25">
      <c r="A2633" s="11" t="s">
        <v>6293</v>
      </c>
      <c r="B2633" s="11" t="s">
        <v>6294</v>
      </c>
      <c r="C2633" s="1908">
        <v>1761</v>
      </c>
      <c r="D2633" s="1908">
        <v>2407059.3274406502</v>
      </c>
      <c r="E2633" s="1909">
        <v>77275.0619208016</v>
      </c>
      <c r="F2633" s="1910">
        <v>35.252437219631801</v>
      </c>
      <c r="G2633" s="1911">
        <v>1.1317270986846699</v>
      </c>
    </row>
    <row r="2634" spans="1:7" x14ac:dyDescent="0.25">
      <c r="A2634" s="6" t="s">
        <v>6293</v>
      </c>
      <c r="B2634" s="6" t="s">
        <v>6295</v>
      </c>
      <c r="C2634" s="1904">
        <v>6080</v>
      </c>
      <c r="D2634" s="1904">
        <v>6828065</v>
      </c>
      <c r="E2634" s="1905">
        <v>0</v>
      </c>
      <c r="F2634" s="1906">
        <v>100</v>
      </c>
      <c r="G2634" s="1907">
        <v>0</v>
      </c>
    </row>
    <row r="2635" spans="1:7" x14ac:dyDescent="0.25">
      <c r="A2635" s="3353" t="s">
        <v>42</v>
      </c>
      <c r="B2635" s="3354"/>
      <c r="C2635" s="3354"/>
      <c r="D2635" s="3354"/>
      <c r="E2635" s="3354"/>
      <c r="F2635" s="3354"/>
      <c r="G2635" s="3354"/>
    </row>
    <row r="2636" spans="1:7" x14ac:dyDescent="0.25">
      <c r="A2636" s="11" t="s">
        <v>988</v>
      </c>
      <c r="B2636" s="11" t="s">
        <v>1008</v>
      </c>
      <c r="C2636" s="1916">
        <v>90</v>
      </c>
      <c r="D2636" s="1916">
        <v>138198.73172891999</v>
      </c>
      <c r="E2636" s="1917">
        <v>30758.669640091401</v>
      </c>
      <c r="F2636" s="1918">
        <v>25.8528804453201</v>
      </c>
      <c r="G2636" s="1919">
        <v>5.3386949406654898</v>
      </c>
    </row>
    <row r="2637" spans="1:7" x14ac:dyDescent="0.25">
      <c r="A2637" s="6" t="s">
        <v>1031</v>
      </c>
      <c r="B2637" s="6" t="s">
        <v>1032</v>
      </c>
      <c r="C2637" s="1912">
        <v>102</v>
      </c>
      <c r="D2637" s="1912">
        <v>84411.825197372804</v>
      </c>
      <c r="E2637" s="1913">
        <v>26613.4669622703</v>
      </c>
      <c r="F2637" s="1914">
        <v>15.7909468321283</v>
      </c>
      <c r="G2637" s="1915">
        <v>4.2085879237823702</v>
      </c>
    </row>
    <row r="2638" spans="1:7" x14ac:dyDescent="0.25">
      <c r="A2638" s="11" t="s">
        <v>1013</v>
      </c>
      <c r="B2638" s="11" t="s">
        <v>1014</v>
      </c>
      <c r="C2638" s="1916">
        <v>29</v>
      </c>
      <c r="D2638" s="1916">
        <v>65720.923874598098</v>
      </c>
      <c r="E2638" s="1917">
        <v>22271.048442270101</v>
      </c>
      <c r="F2638" s="1918">
        <v>12.294434011295801</v>
      </c>
      <c r="G2638" s="1919">
        <v>4.0074670650733299</v>
      </c>
    </row>
    <row r="2639" spans="1:7" x14ac:dyDescent="0.25">
      <c r="A2639" s="6" t="s">
        <v>1005</v>
      </c>
      <c r="B2639" s="6" t="s">
        <v>1037</v>
      </c>
      <c r="C2639" s="1912">
        <v>47</v>
      </c>
      <c r="D2639" s="1912">
        <v>40653.723591702998</v>
      </c>
      <c r="E2639" s="1913">
        <v>19831.300788860401</v>
      </c>
      <c r="F2639" s="1914">
        <v>7.6051049276992</v>
      </c>
      <c r="G2639" s="1915">
        <v>3.6603706194738002</v>
      </c>
    </row>
    <row r="2640" spans="1:7" x14ac:dyDescent="0.25">
      <c r="A2640" s="11" t="s">
        <v>1029</v>
      </c>
      <c r="B2640" s="11" t="s">
        <v>1030</v>
      </c>
      <c r="C2640" s="1916">
        <v>56</v>
      </c>
      <c r="D2640" s="1916">
        <v>31431.0723641232</v>
      </c>
      <c r="E2640" s="1917">
        <v>14870.1321473099</v>
      </c>
      <c r="F2640" s="1918">
        <v>5.8798206461965599</v>
      </c>
      <c r="G2640" s="1919">
        <v>2.66926755720834</v>
      </c>
    </row>
    <row r="2641" spans="1:7" x14ac:dyDescent="0.25">
      <c r="A2641" s="6" t="s">
        <v>990</v>
      </c>
      <c r="B2641" s="6" t="s">
        <v>1009</v>
      </c>
      <c r="C2641" s="1912">
        <v>19</v>
      </c>
      <c r="D2641" s="1912">
        <v>28065.072396989799</v>
      </c>
      <c r="E2641" s="1913">
        <v>10054.8050702481</v>
      </c>
      <c r="F2641" s="1914">
        <v>5.25014196795843</v>
      </c>
      <c r="G2641" s="1915">
        <v>2.1811086560558199</v>
      </c>
    </row>
    <row r="2642" spans="1:7" x14ac:dyDescent="0.25">
      <c r="A2642" s="11" t="s">
        <v>1019</v>
      </c>
      <c r="B2642" s="11" t="s">
        <v>1020</v>
      </c>
      <c r="C2642" s="1916">
        <v>19</v>
      </c>
      <c r="D2642" s="1916">
        <v>20653.144438021802</v>
      </c>
      <c r="E2642" s="1917">
        <v>10639.606221984301</v>
      </c>
      <c r="F2642" s="1918">
        <v>3.86359026089653</v>
      </c>
      <c r="G2642" s="1919">
        <v>2.0530854947683599</v>
      </c>
    </row>
    <row r="2643" spans="1:7" x14ac:dyDescent="0.25">
      <c r="A2643" s="6" t="s">
        <v>1015</v>
      </c>
      <c r="B2643" s="6" t="s">
        <v>1016</v>
      </c>
      <c r="C2643" s="1912">
        <v>8</v>
      </c>
      <c r="D2643" s="1912">
        <v>19134.248271707798</v>
      </c>
      <c r="E2643" s="1913">
        <v>10284.481012362399</v>
      </c>
      <c r="F2643" s="1914">
        <v>3.5794498747633501</v>
      </c>
      <c r="G2643" s="1915">
        <v>1.8058869590520199</v>
      </c>
    </row>
    <row r="2644" spans="1:7" x14ac:dyDescent="0.25">
      <c r="A2644" s="11" t="s">
        <v>992</v>
      </c>
      <c r="B2644" s="11" t="s">
        <v>1010</v>
      </c>
      <c r="C2644" s="1916">
        <v>20</v>
      </c>
      <c r="D2644" s="1916">
        <v>18989.008954380301</v>
      </c>
      <c r="E2644" s="1917">
        <v>6901.3049062646296</v>
      </c>
      <c r="F2644" s="1918">
        <v>3.5522799097437501</v>
      </c>
      <c r="G2644" s="1919">
        <v>1.30426253738758</v>
      </c>
    </row>
    <row r="2645" spans="1:7" x14ac:dyDescent="0.25">
      <c r="A2645" s="6" t="s">
        <v>1033</v>
      </c>
      <c r="B2645" s="6" t="s">
        <v>1034</v>
      </c>
      <c r="C2645" s="1912">
        <v>20</v>
      </c>
      <c r="D2645" s="1912">
        <v>18480.3436578689</v>
      </c>
      <c r="E2645" s="1913">
        <v>10459.081102546599</v>
      </c>
      <c r="F2645" s="1914">
        <v>3.4571237318767398</v>
      </c>
      <c r="G2645" s="1915">
        <v>2.0422936349221499</v>
      </c>
    </row>
    <row r="2646" spans="1:7" x14ac:dyDescent="0.25">
      <c r="A2646" s="11" t="s">
        <v>994</v>
      </c>
      <c r="B2646" s="11" t="s">
        <v>1011</v>
      </c>
      <c r="C2646" s="1916">
        <v>15</v>
      </c>
      <c r="D2646" s="1916">
        <v>18107.316145106499</v>
      </c>
      <c r="E2646" s="1917">
        <v>7303.8717493242302</v>
      </c>
      <c r="F2646" s="1918">
        <v>3.3873413571066302</v>
      </c>
      <c r="G2646" s="1919">
        <v>1.3178127996311</v>
      </c>
    </row>
    <row r="2647" spans="1:7" x14ac:dyDescent="0.25">
      <c r="A2647" s="6" t="s">
        <v>1023</v>
      </c>
      <c r="B2647" s="6" t="s">
        <v>1024</v>
      </c>
      <c r="C2647" s="1912">
        <v>5</v>
      </c>
      <c r="D2647" s="1912">
        <v>13340.831811636899</v>
      </c>
      <c r="E2647" s="1913">
        <v>13335.8805278748</v>
      </c>
      <c r="F2647" s="1914">
        <v>2.4956736256009902</v>
      </c>
      <c r="G2647" s="1915">
        <v>2.54059817269885</v>
      </c>
    </row>
    <row r="2648" spans="1:7" x14ac:dyDescent="0.25">
      <c r="A2648" s="11" t="s">
        <v>1027</v>
      </c>
      <c r="B2648" s="11" t="s">
        <v>1028</v>
      </c>
      <c r="C2648" s="1916">
        <v>51</v>
      </c>
      <c r="D2648" s="1916">
        <v>11627.753268811601</v>
      </c>
      <c r="E2648" s="1917">
        <v>6372.4130835331898</v>
      </c>
      <c r="F2648" s="1918">
        <v>2.1752074808900801</v>
      </c>
      <c r="G2648" s="1919">
        <v>1.17797372099064</v>
      </c>
    </row>
    <row r="2649" spans="1:7" x14ac:dyDescent="0.25">
      <c r="A2649" s="6" t="s">
        <v>1003</v>
      </c>
      <c r="B2649" s="6" t="s">
        <v>1012</v>
      </c>
      <c r="C2649" s="1912">
        <v>6</v>
      </c>
      <c r="D2649" s="1912">
        <v>9412.3791479415504</v>
      </c>
      <c r="E2649" s="1913">
        <v>8056.7711267964396</v>
      </c>
      <c r="F2649" s="1914">
        <v>1.76077674355991</v>
      </c>
      <c r="G2649" s="1915">
        <v>1.53429652064373</v>
      </c>
    </row>
    <row r="2650" spans="1:7" x14ac:dyDescent="0.25">
      <c r="A2650" s="11" t="s">
        <v>1035</v>
      </c>
      <c r="B2650" s="11" t="s">
        <v>1036</v>
      </c>
      <c r="C2650" s="1916">
        <v>8</v>
      </c>
      <c r="D2650" s="1916">
        <v>8686.9283826418305</v>
      </c>
      <c r="E2650" s="1917">
        <v>7496.7523548274603</v>
      </c>
      <c r="F2650" s="1918">
        <v>1.62506643949541</v>
      </c>
      <c r="G2650" s="1919">
        <v>1.4289251536171901</v>
      </c>
    </row>
    <row r="2651" spans="1:7" x14ac:dyDescent="0.25">
      <c r="A2651" s="6" t="s">
        <v>1017</v>
      </c>
      <c r="B2651" s="6" t="s">
        <v>1018</v>
      </c>
      <c r="C2651" s="1912">
        <v>6</v>
      </c>
      <c r="D2651" s="1912">
        <v>5471.4480742402402</v>
      </c>
      <c r="E2651" s="1913">
        <v>4445.5368966506003</v>
      </c>
      <c r="F2651" s="1914">
        <v>1.0235455214131299</v>
      </c>
      <c r="G2651" s="1915">
        <v>0.80800016985061796</v>
      </c>
    </row>
    <row r="2652" spans="1:7" x14ac:dyDescent="0.25">
      <c r="A2652" s="11" t="s">
        <v>1025</v>
      </c>
      <c r="B2652" s="11" t="s">
        <v>1026</v>
      </c>
      <c r="C2652" s="1916">
        <v>5</v>
      </c>
      <c r="D2652" s="1916">
        <v>1248.9376110737001</v>
      </c>
      <c r="E2652" s="1917">
        <v>799.27482450357502</v>
      </c>
      <c r="F2652" s="1918">
        <v>0.233639153838886</v>
      </c>
      <c r="G2652" s="1919">
        <v>0.154360544540836</v>
      </c>
    </row>
    <row r="2653" spans="1:7" x14ac:dyDescent="0.25">
      <c r="A2653" s="6" t="s">
        <v>1021</v>
      </c>
      <c r="B2653" s="6" t="s">
        <v>1022</v>
      </c>
      <c r="C2653" s="1912">
        <v>2</v>
      </c>
      <c r="D2653" s="1912">
        <v>924.663376393156</v>
      </c>
      <c r="E2653" s="1913">
        <v>721.07935889178998</v>
      </c>
      <c r="F2653" s="1914">
        <v>0.17297707021616501</v>
      </c>
      <c r="G2653" s="1915">
        <v>0.138909747258366</v>
      </c>
    </row>
    <row r="2654" spans="1:7" x14ac:dyDescent="0.25">
      <c r="A2654" s="11" t="s">
        <v>982</v>
      </c>
      <c r="B2654" s="11" t="s">
        <v>983</v>
      </c>
      <c r="C2654" s="1916">
        <v>5568</v>
      </c>
      <c r="D2654" s="1916">
        <v>6278581.0267996397</v>
      </c>
      <c r="E2654" s="1917">
        <v>43827.047369008898</v>
      </c>
      <c r="F2654" s="1918">
        <v>99.762840944765102</v>
      </c>
      <c r="G2654" s="1919">
        <v>0.17501550790150999</v>
      </c>
    </row>
    <row r="2655" spans="1:7" x14ac:dyDescent="0.25">
      <c r="A2655" s="6" t="s">
        <v>978</v>
      </c>
      <c r="B2655" s="6" t="s">
        <v>979</v>
      </c>
      <c r="C2655" s="1912">
        <v>2</v>
      </c>
      <c r="D2655" s="1912">
        <v>10012.146089808</v>
      </c>
      <c r="E2655" s="1913">
        <v>9903.2599508947605</v>
      </c>
      <c r="F2655" s="1914">
        <v>0.15908692324106299</v>
      </c>
      <c r="G2655" s="1915">
        <v>0.157226751760348</v>
      </c>
    </row>
    <row r="2656" spans="1:7" x14ac:dyDescent="0.25">
      <c r="A2656" s="11" t="s">
        <v>980</v>
      </c>
      <c r="B2656" s="11" t="s">
        <v>981</v>
      </c>
      <c r="C2656" s="1916">
        <v>2</v>
      </c>
      <c r="D2656" s="1916">
        <v>4723.1777604883</v>
      </c>
      <c r="E2656" s="1917">
        <v>4475.3946168544699</v>
      </c>
      <c r="F2656" s="1918">
        <v>7.5048427289888503E-2</v>
      </c>
      <c r="G2656" s="1919">
        <v>7.1033913255668393E-2</v>
      </c>
    </row>
    <row r="2657" spans="1:7" x14ac:dyDescent="0.25">
      <c r="A2657" s="6" t="s">
        <v>996</v>
      </c>
      <c r="B2657" s="6" t="s">
        <v>997</v>
      </c>
      <c r="C2657" s="1912">
        <v>1</v>
      </c>
      <c r="D2657" s="1912">
        <v>190.297056547219</v>
      </c>
      <c r="E2657" s="1913">
        <v>208.51839929160701</v>
      </c>
      <c r="F2657" s="1914">
        <v>3.0237047039041202E-3</v>
      </c>
      <c r="G2657" s="1915">
        <v>3.3154189764808E-3</v>
      </c>
    </row>
    <row r="2658" spans="1:7" x14ac:dyDescent="0.25">
      <c r="A2658" s="11" t="s">
        <v>6293</v>
      </c>
      <c r="B2658" s="11" t="s">
        <v>6294</v>
      </c>
      <c r="C2658" s="1916">
        <v>508</v>
      </c>
      <c r="D2658" s="1916">
        <v>534558.35229353094</v>
      </c>
      <c r="E2658" s="1917">
        <v>47659.208081364901</v>
      </c>
      <c r="F2658" s="1918">
        <v>7.82884100097949</v>
      </c>
      <c r="G2658" s="1919">
        <v>0.69798995881503401</v>
      </c>
    </row>
    <row r="2659" spans="1:7" x14ac:dyDescent="0.25">
      <c r="A2659" s="6" t="s">
        <v>6293</v>
      </c>
      <c r="B2659" s="6" t="s">
        <v>6295</v>
      </c>
      <c r="C2659" s="1912">
        <v>6081</v>
      </c>
      <c r="D2659" s="1912">
        <v>6828065.0000000102</v>
      </c>
      <c r="E2659" s="1913">
        <v>0</v>
      </c>
      <c r="F2659" s="1914">
        <v>100</v>
      </c>
      <c r="G2659" s="1915">
        <v>0</v>
      </c>
    </row>
    <row r="2660" spans="1:7" x14ac:dyDescent="0.25">
      <c r="A2660" s="3353" t="s">
        <v>44</v>
      </c>
      <c r="B2660" s="3354"/>
      <c r="C2660" s="3354"/>
      <c r="D2660" s="3354"/>
      <c r="E2660" s="3354"/>
      <c r="F2660" s="3354"/>
      <c r="G2660" s="3354"/>
    </row>
    <row r="2661" spans="1:7" x14ac:dyDescent="0.25">
      <c r="A2661" s="11" t="s">
        <v>984</v>
      </c>
      <c r="B2661" s="11" t="s">
        <v>1038</v>
      </c>
      <c r="C2661" s="1924">
        <v>182</v>
      </c>
      <c r="D2661" s="1924">
        <v>110703.827561157</v>
      </c>
      <c r="E2661" s="1925">
        <v>31486.302319603601</v>
      </c>
      <c r="F2661" s="1926">
        <v>31.101595473684601</v>
      </c>
      <c r="G2661" s="1927">
        <v>7.6355716553196604</v>
      </c>
    </row>
    <row r="2662" spans="1:7" x14ac:dyDescent="0.25">
      <c r="A2662" s="6" t="s">
        <v>1031</v>
      </c>
      <c r="B2662" s="6" t="s">
        <v>1032</v>
      </c>
      <c r="C2662" s="1920">
        <v>82</v>
      </c>
      <c r="D2662" s="1920">
        <v>74329.182634666096</v>
      </c>
      <c r="E2662" s="1921">
        <v>28718.156211916899</v>
      </c>
      <c r="F2662" s="1922">
        <v>20.882350873694101</v>
      </c>
      <c r="G2662" s="1923">
        <v>8.3099475804080694</v>
      </c>
    </row>
    <row r="2663" spans="1:7" x14ac:dyDescent="0.25">
      <c r="A2663" s="11" t="s">
        <v>988</v>
      </c>
      <c r="B2663" s="11" t="s">
        <v>1008</v>
      </c>
      <c r="C2663" s="1924">
        <v>45</v>
      </c>
      <c r="D2663" s="1924">
        <v>66970.224735360403</v>
      </c>
      <c r="E2663" s="1925">
        <v>15845.075952212301</v>
      </c>
      <c r="F2663" s="1926">
        <v>18.814894519796699</v>
      </c>
      <c r="G2663" s="1927">
        <v>5.20575567830931</v>
      </c>
    </row>
    <row r="2664" spans="1:7" x14ac:dyDescent="0.25">
      <c r="A2664" s="6" t="s">
        <v>990</v>
      </c>
      <c r="B2664" s="6" t="s">
        <v>1009</v>
      </c>
      <c r="C2664" s="1920">
        <v>15</v>
      </c>
      <c r="D2664" s="1920">
        <v>25790.584124780398</v>
      </c>
      <c r="E2664" s="1921">
        <v>10625.4666710806</v>
      </c>
      <c r="F2664" s="1922">
        <v>7.2457143727557698</v>
      </c>
      <c r="G2664" s="1923">
        <v>2.8789173363004301</v>
      </c>
    </row>
    <row r="2665" spans="1:7" x14ac:dyDescent="0.25">
      <c r="A2665" s="11" t="s">
        <v>1013</v>
      </c>
      <c r="B2665" s="11" t="s">
        <v>1014</v>
      </c>
      <c r="C2665" s="1924">
        <v>7</v>
      </c>
      <c r="D2665" s="1924">
        <v>23183.071345775501</v>
      </c>
      <c r="E2665" s="1925">
        <v>14331.8437916649</v>
      </c>
      <c r="F2665" s="1926">
        <v>6.5131488469588401</v>
      </c>
      <c r="G2665" s="1927">
        <v>3.9424721810495398</v>
      </c>
    </row>
    <row r="2666" spans="1:7" x14ac:dyDescent="0.25">
      <c r="A2666" s="6" t="s">
        <v>1033</v>
      </c>
      <c r="B2666" s="6" t="s">
        <v>1034</v>
      </c>
      <c r="C2666" s="1920">
        <v>7</v>
      </c>
      <c r="D2666" s="1920">
        <v>12389.079331453</v>
      </c>
      <c r="E2666" s="1921">
        <v>9760.4469698042103</v>
      </c>
      <c r="F2666" s="1922">
        <v>3.4806396684466199</v>
      </c>
      <c r="G2666" s="1923">
        <v>2.6971357077837399</v>
      </c>
    </row>
    <row r="2667" spans="1:7" x14ac:dyDescent="0.25">
      <c r="A2667" s="11" t="s">
        <v>1003</v>
      </c>
      <c r="B2667" s="11" t="s">
        <v>1012</v>
      </c>
      <c r="C2667" s="1924">
        <v>5</v>
      </c>
      <c r="D2667" s="1924">
        <v>8512.1014928603308</v>
      </c>
      <c r="E2667" s="1925">
        <v>8140.0892829882496</v>
      </c>
      <c r="F2667" s="1926">
        <v>2.3914253291345</v>
      </c>
      <c r="G2667" s="1927">
        <v>2.2685796545826702</v>
      </c>
    </row>
    <row r="2668" spans="1:7" x14ac:dyDescent="0.25">
      <c r="A2668" s="6" t="s">
        <v>1027</v>
      </c>
      <c r="B2668" s="6" t="s">
        <v>1028</v>
      </c>
      <c r="C2668" s="1920">
        <v>43</v>
      </c>
      <c r="D2668" s="1920">
        <v>7883.8715964431904</v>
      </c>
      <c r="E2668" s="1921">
        <v>5111.0726055579198</v>
      </c>
      <c r="F2668" s="1922">
        <v>2.2149277993445202</v>
      </c>
      <c r="G2668" s="1923">
        <v>1.40830886127951</v>
      </c>
    </row>
    <row r="2669" spans="1:7" x14ac:dyDescent="0.25">
      <c r="A2669" s="11" t="s">
        <v>1035</v>
      </c>
      <c r="B2669" s="11" t="s">
        <v>1036</v>
      </c>
      <c r="C2669" s="1924">
        <v>3</v>
      </c>
      <c r="D2669" s="1924">
        <v>6636.6961281981403</v>
      </c>
      <c r="E2669" s="1925">
        <v>7007.67824718469</v>
      </c>
      <c r="F2669" s="1926">
        <v>1.8645411166742001</v>
      </c>
      <c r="G2669" s="1927">
        <v>1.9550779671593701</v>
      </c>
    </row>
    <row r="2670" spans="1:7" x14ac:dyDescent="0.25">
      <c r="A2670" s="6" t="s">
        <v>986</v>
      </c>
      <c r="B2670" s="6" t="s">
        <v>1039</v>
      </c>
      <c r="C2670" s="1920">
        <v>7</v>
      </c>
      <c r="D2670" s="1920">
        <v>5831.4777455457997</v>
      </c>
      <c r="E2670" s="1921">
        <v>4211.1605833266804</v>
      </c>
      <c r="F2670" s="1922">
        <v>1.63831970268205</v>
      </c>
      <c r="G2670" s="1923">
        <v>1.15739942693152</v>
      </c>
    </row>
    <row r="2671" spans="1:7" x14ac:dyDescent="0.25">
      <c r="A2671" s="11" t="s">
        <v>992</v>
      </c>
      <c r="B2671" s="11" t="s">
        <v>1010</v>
      </c>
      <c r="C2671" s="1924">
        <v>5</v>
      </c>
      <c r="D2671" s="1924">
        <v>5020.0481732751996</v>
      </c>
      <c r="E2671" s="1925">
        <v>3279.8748813749398</v>
      </c>
      <c r="F2671" s="1926">
        <v>1.4103532911485099</v>
      </c>
      <c r="G2671" s="1927">
        <v>0.89407235143668495</v>
      </c>
    </row>
    <row r="2672" spans="1:7" x14ac:dyDescent="0.25">
      <c r="A2672" s="6" t="s">
        <v>994</v>
      </c>
      <c r="B2672" s="6" t="s">
        <v>1011</v>
      </c>
      <c r="C2672" s="1920">
        <v>4</v>
      </c>
      <c r="D2672" s="1920">
        <v>3805.5356769703199</v>
      </c>
      <c r="E2672" s="1921">
        <v>2626.81468371859</v>
      </c>
      <c r="F2672" s="1922">
        <v>1.0691430801741699</v>
      </c>
      <c r="G2672" s="1923">
        <v>0.75284608745297499</v>
      </c>
    </row>
    <row r="2673" spans="1:7" x14ac:dyDescent="0.25">
      <c r="A2673" s="11" t="s">
        <v>1029</v>
      </c>
      <c r="B2673" s="11" t="s">
        <v>1030</v>
      </c>
      <c r="C2673" s="1924">
        <v>3</v>
      </c>
      <c r="D2673" s="1924">
        <v>3334.06697416517</v>
      </c>
      <c r="E2673" s="1925">
        <v>2728.5858876131801</v>
      </c>
      <c r="F2673" s="1926">
        <v>0.93668669455328502</v>
      </c>
      <c r="G2673" s="1927">
        <v>0.76879379702990303</v>
      </c>
    </row>
    <row r="2674" spans="1:7" x14ac:dyDescent="0.25">
      <c r="A2674" s="6" t="s">
        <v>1019</v>
      </c>
      <c r="B2674" s="6" t="s">
        <v>1020</v>
      </c>
      <c r="C2674" s="1920">
        <v>2</v>
      </c>
      <c r="D2674" s="1920">
        <v>928.28734148110902</v>
      </c>
      <c r="E2674" s="1921">
        <v>709.13959918361797</v>
      </c>
      <c r="F2674" s="1922">
        <v>0.26079692106524499</v>
      </c>
      <c r="G2674" s="1923">
        <v>0.19990022502581001</v>
      </c>
    </row>
    <row r="2675" spans="1:7" x14ac:dyDescent="0.25">
      <c r="A2675" s="11" t="s">
        <v>1005</v>
      </c>
      <c r="B2675" s="11" t="s">
        <v>1037</v>
      </c>
      <c r="C2675" s="1924">
        <v>8</v>
      </c>
      <c r="D2675" s="1924">
        <v>377.34807003507399</v>
      </c>
      <c r="E2675" s="1925">
        <v>370.37795055465398</v>
      </c>
      <c r="F2675" s="1926">
        <v>0.106013742122177</v>
      </c>
      <c r="G2675" s="1927">
        <v>0.102741938783305</v>
      </c>
    </row>
    <row r="2676" spans="1:7" x14ac:dyDescent="0.25">
      <c r="A2676" s="6" t="s">
        <v>1021</v>
      </c>
      <c r="B2676" s="6" t="s">
        <v>1022</v>
      </c>
      <c r="C2676" s="1920">
        <v>1</v>
      </c>
      <c r="D2676" s="1920">
        <v>199.11293871884399</v>
      </c>
      <c r="E2676" s="1921">
        <v>197.05249889911701</v>
      </c>
      <c r="F2676" s="1922">
        <v>5.5939620246544301E-2</v>
      </c>
      <c r="G2676" s="1923">
        <v>5.5582055405574503E-2</v>
      </c>
    </row>
    <row r="2677" spans="1:7" x14ac:dyDescent="0.25">
      <c r="A2677" s="11" t="s">
        <v>1025</v>
      </c>
      <c r="B2677" s="11" t="s">
        <v>1026</v>
      </c>
      <c r="C2677" s="1924">
        <v>1</v>
      </c>
      <c r="D2677" s="1924">
        <v>48.084099025088598</v>
      </c>
      <c r="E2677" s="1925">
        <v>48.385881565400801</v>
      </c>
      <c r="F2677" s="1926">
        <v>1.3508947518266499E-2</v>
      </c>
      <c r="G2677" s="1927">
        <v>1.35598875089088E-2</v>
      </c>
    </row>
    <row r="2678" spans="1:7" x14ac:dyDescent="0.25">
      <c r="A2678" s="6" t="s">
        <v>982</v>
      </c>
      <c r="B2678" s="6" t="s">
        <v>983</v>
      </c>
      <c r="C2678" s="1920">
        <v>5660</v>
      </c>
      <c r="D2678" s="1920">
        <v>6472122.4000300998</v>
      </c>
      <c r="E2678" s="1921">
        <v>25734.528727638401</v>
      </c>
      <c r="F2678" s="1922">
        <v>100</v>
      </c>
      <c r="G2678" s="1923">
        <v>0</v>
      </c>
    </row>
    <row r="2679" spans="1:7" x14ac:dyDescent="0.25">
      <c r="A2679" s="11" t="s">
        <v>6293</v>
      </c>
      <c r="B2679" s="11" t="s">
        <v>6294</v>
      </c>
      <c r="C2679" s="1924">
        <v>420</v>
      </c>
      <c r="D2679" s="1924">
        <v>355942.59996990999</v>
      </c>
      <c r="E2679" s="1925">
        <v>25734.5287276325</v>
      </c>
      <c r="F2679" s="1926">
        <v>5.2129351429710997</v>
      </c>
      <c r="G2679" s="1927">
        <v>0.37689343507469097</v>
      </c>
    </row>
    <row r="2680" spans="1:7" x14ac:dyDescent="0.25">
      <c r="A2680" s="6" t="s">
        <v>6293</v>
      </c>
      <c r="B2680" s="6" t="s">
        <v>6295</v>
      </c>
      <c r="C2680" s="1920">
        <v>6080</v>
      </c>
      <c r="D2680" s="1920">
        <v>6828065.0000000102</v>
      </c>
      <c r="E2680" s="1921">
        <v>0</v>
      </c>
      <c r="F2680" s="1922">
        <v>100</v>
      </c>
      <c r="G2680" s="1923">
        <v>0</v>
      </c>
    </row>
    <row r="2681" spans="1:7" x14ac:dyDescent="0.25">
      <c r="A2681" s="3353" t="s">
        <v>152</v>
      </c>
      <c r="B2681" s="3354"/>
      <c r="C2681" s="3354"/>
      <c r="D2681" s="3354"/>
      <c r="E2681" s="3354"/>
      <c r="F2681" s="3354"/>
      <c r="G2681" s="3354"/>
    </row>
    <row r="2682" spans="1:7" x14ac:dyDescent="0.25">
      <c r="A2682" s="11" t="s">
        <v>984</v>
      </c>
      <c r="B2682" s="11" t="s">
        <v>1061</v>
      </c>
      <c r="C2682" s="1932">
        <v>4996</v>
      </c>
      <c r="D2682" s="1932">
        <v>4692663.7616769597</v>
      </c>
      <c r="E2682" s="1933">
        <v>68046.325103595693</v>
      </c>
      <c r="F2682" s="1934">
        <v>68.726114377601206</v>
      </c>
      <c r="G2682" s="1935">
        <v>0.99656820934766399</v>
      </c>
    </row>
    <row r="2683" spans="1:7" x14ac:dyDescent="0.25">
      <c r="A2683" s="6" t="s">
        <v>986</v>
      </c>
      <c r="B2683" s="6" t="s">
        <v>1062</v>
      </c>
      <c r="C2683" s="1928">
        <v>1085</v>
      </c>
      <c r="D2683" s="1928">
        <v>2135401.2383230501</v>
      </c>
      <c r="E2683" s="1929">
        <v>68046.325103594296</v>
      </c>
      <c r="F2683" s="1930">
        <v>31.273885622398801</v>
      </c>
      <c r="G2683" s="1931">
        <v>0.99656820934766699</v>
      </c>
    </row>
    <row r="2684" spans="1:7" x14ac:dyDescent="0.25">
      <c r="A2684" s="11" t="s">
        <v>6293</v>
      </c>
      <c r="B2684" s="11" t="s">
        <v>6294</v>
      </c>
      <c r="C2684" s="1932">
        <v>6081</v>
      </c>
      <c r="D2684" s="1932">
        <v>6828065</v>
      </c>
      <c r="E2684" s="1933">
        <v>4.7438718191165001E-8</v>
      </c>
      <c r="F2684" s="1934">
        <v>100</v>
      </c>
      <c r="G2684" s="1935">
        <v>0</v>
      </c>
    </row>
    <row r="2685" spans="1:7" x14ac:dyDescent="0.25">
      <c r="A2685" s="6" t="s">
        <v>6293</v>
      </c>
      <c r="B2685" s="6" t="s">
        <v>6295</v>
      </c>
      <c r="C2685" s="1928">
        <v>6081</v>
      </c>
      <c r="D2685" s="1928">
        <v>6828065</v>
      </c>
      <c r="E2685" s="1929">
        <v>0</v>
      </c>
      <c r="F2685" s="1930">
        <v>100</v>
      </c>
      <c r="G2685" s="1931">
        <v>0</v>
      </c>
    </row>
    <row r="2686" spans="1:7" x14ac:dyDescent="0.25">
      <c r="A2686" s="3353" t="s">
        <v>651</v>
      </c>
      <c r="B2686" s="3354"/>
      <c r="C2686" s="3354"/>
      <c r="D2686" s="3354"/>
      <c r="E2686" s="3354"/>
      <c r="F2686" s="3354"/>
      <c r="G2686" s="3354"/>
    </row>
    <row r="2687" spans="1:7" x14ac:dyDescent="0.25">
      <c r="A2687" s="11" t="s">
        <v>984</v>
      </c>
      <c r="B2687" s="11" t="s">
        <v>1061</v>
      </c>
      <c r="C2687" s="1940">
        <v>3355</v>
      </c>
      <c r="D2687" s="1940">
        <v>3430872.3386795502</v>
      </c>
      <c r="E2687" s="1941">
        <v>65612.938500810895</v>
      </c>
      <c r="F2687" s="1942">
        <v>50.246626806856099</v>
      </c>
      <c r="G2687" s="1943">
        <v>0.96093019765941801</v>
      </c>
    </row>
    <row r="2688" spans="1:7" x14ac:dyDescent="0.25">
      <c r="A2688" s="6" t="s">
        <v>986</v>
      </c>
      <c r="B2688" s="6" t="s">
        <v>1062</v>
      </c>
      <c r="C2688" s="1936">
        <v>2726</v>
      </c>
      <c r="D2688" s="1936">
        <v>3397192.66132044</v>
      </c>
      <c r="E2688" s="1937">
        <v>65612.938500815304</v>
      </c>
      <c r="F2688" s="1938">
        <v>49.753373193143901</v>
      </c>
      <c r="G2688" s="1939">
        <v>0.96093019765941201</v>
      </c>
    </row>
    <row r="2689" spans="1:7" x14ac:dyDescent="0.25">
      <c r="A2689" s="11" t="s">
        <v>6293</v>
      </c>
      <c r="B2689" s="11" t="s">
        <v>6294</v>
      </c>
      <c r="C2689" s="1940">
        <v>6081</v>
      </c>
      <c r="D2689" s="1940">
        <v>6828064.9999999898</v>
      </c>
      <c r="E2689" s="1941">
        <v>4.3745260447754099E-8</v>
      </c>
      <c r="F2689" s="1942">
        <v>100</v>
      </c>
      <c r="G2689" s="1943">
        <v>1.45362315675074E-14</v>
      </c>
    </row>
    <row r="2690" spans="1:7" x14ac:dyDescent="0.25">
      <c r="A2690" s="6" t="s">
        <v>6293</v>
      </c>
      <c r="B2690" s="6" t="s">
        <v>6295</v>
      </c>
      <c r="C2690" s="1936">
        <v>6081</v>
      </c>
      <c r="D2690" s="1936">
        <v>6828064.9999999898</v>
      </c>
      <c r="E2690" s="1937">
        <v>0</v>
      </c>
      <c r="F2690" s="1938">
        <v>100</v>
      </c>
      <c r="G2690" s="1939">
        <v>0</v>
      </c>
    </row>
    <row r="2691" spans="1:7" x14ac:dyDescent="0.25">
      <c r="A2691" s="3353" t="s">
        <v>483</v>
      </c>
      <c r="B2691" s="3354"/>
      <c r="C2691" s="3354"/>
      <c r="D2691" s="3354"/>
      <c r="E2691" s="3354"/>
      <c r="F2691" s="3354"/>
      <c r="G2691" s="3354"/>
    </row>
    <row r="2692" spans="1:7" x14ac:dyDescent="0.25">
      <c r="A2692" s="11" t="s">
        <v>986</v>
      </c>
      <c r="B2692" s="11" t="s">
        <v>1062</v>
      </c>
      <c r="C2692" s="1948">
        <v>5628</v>
      </c>
      <c r="D2692" s="1948">
        <v>6190819.9311732696</v>
      </c>
      <c r="E2692" s="1949">
        <v>36319.429516569602</v>
      </c>
      <c r="F2692" s="1950">
        <v>90.667267097973706</v>
      </c>
      <c r="G2692" s="1951">
        <v>0.53191393925756603</v>
      </c>
    </row>
    <row r="2693" spans="1:7" x14ac:dyDescent="0.25">
      <c r="A2693" s="6" t="s">
        <v>984</v>
      </c>
      <c r="B2693" s="6" t="s">
        <v>1061</v>
      </c>
      <c r="C2693" s="1944">
        <v>453</v>
      </c>
      <c r="D2693" s="1944">
        <v>637245.06882674003</v>
      </c>
      <c r="E2693" s="1945">
        <v>36319.429516566699</v>
      </c>
      <c r="F2693" s="1946">
        <v>9.3327329020262599</v>
      </c>
      <c r="G2693" s="1947">
        <v>0.53191393925756303</v>
      </c>
    </row>
    <row r="2694" spans="1:7" x14ac:dyDescent="0.25">
      <c r="A2694" s="11" t="s">
        <v>6293</v>
      </c>
      <c r="B2694" s="11" t="s">
        <v>6294</v>
      </c>
      <c r="C2694" s="1948">
        <v>6081</v>
      </c>
      <c r="D2694" s="1948">
        <v>6828065.0000000102</v>
      </c>
      <c r="E2694" s="1949">
        <v>1.14936569049377E-7</v>
      </c>
      <c r="F2694" s="1950">
        <v>100</v>
      </c>
      <c r="G2694" s="1951">
        <v>1.45362315675074E-14</v>
      </c>
    </row>
    <row r="2695" spans="1:7" x14ac:dyDescent="0.25">
      <c r="A2695" s="6" t="s">
        <v>6293</v>
      </c>
      <c r="B2695" s="6" t="s">
        <v>6295</v>
      </c>
      <c r="C2695" s="1944">
        <v>6081</v>
      </c>
      <c r="D2695" s="1944">
        <v>6828065.0000000102</v>
      </c>
      <c r="E2695" s="1945">
        <v>0</v>
      </c>
      <c r="F2695" s="1946">
        <v>100</v>
      </c>
      <c r="G2695" s="1947">
        <v>0</v>
      </c>
    </row>
    <row r="2696" spans="1:7" x14ac:dyDescent="0.25">
      <c r="A2696" s="3353" t="s">
        <v>150</v>
      </c>
      <c r="B2696" s="3354"/>
      <c r="C2696" s="3354"/>
      <c r="D2696" s="3354"/>
      <c r="E2696" s="3354"/>
      <c r="F2696" s="3354"/>
      <c r="G2696" s="3354"/>
    </row>
    <row r="2697" spans="1:7" x14ac:dyDescent="0.25">
      <c r="A2697" s="11" t="s">
        <v>996</v>
      </c>
      <c r="B2697" s="11" t="s">
        <v>997</v>
      </c>
      <c r="C2697" s="1956">
        <v>4112</v>
      </c>
      <c r="D2697" s="1956">
        <v>3985596.18963269</v>
      </c>
      <c r="E2697" s="1957">
        <v>75178.842025725506</v>
      </c>
      <c r="F2697" s="1958">
        <v>90.264652781237601</v>
      </c>
      <c r="G2697" s="1959">
        <v>0.16550375028751599</v>
      </c>
    </row>
    <row r="2698" spans="1:7" x14ac:dyDescent="0.25">
      <c r="A2698" s="6" t="s">
        <v>982</v>
      </c>
      <c r="B2698" s="6" t="s">
        <v>983</v>
      </c>
      <c r="C2698" s="1952">
        <v>204</v>
      </c>
      <c r="D2698" s="1952">
        <v>429859.990420477</v>
      </c>
      <c r="E2698" s="1953">
        <v>8.2760638930812896E-2</v>
      </c>
      <c r="F2698" s="1954">
        <v>9.7353472187623602</v>
      </c>
      <c r="G2698" s="1955">
        <v>0.16550375028752801</v>
      </c>
    </row>
    <row r="2699" spans="1:7" x14ac:dyDescent="0.25">
      <c r="A2699" s="11" t="s">
        <v>6293</v>
      </c>
      <c r="B2699" s="11" t="s">
        <v>6294</v>
      </c>
      <c r="C2699" s="1956">
        <v>1550</v>
      </c>
      <c r="D2699" s="1956">
        <v>2412608.8199468302</v>
      </c>
      <c r="E2699" s="1957">
        <v>75178.839222226205</v>
      </c>
      <c r="F2699" s="1958">
        <v>35.333711965935201</v>
      </c>
      <c r="G2699" s="1959">
        <v>1.1010269999220601</v>
      </c>
    </row>
    <row r="2700" spans="1:7" x14ac:dyDescent="0.25">
      <c r="A2700" s="6" t="s">
        <v>6293</v>
      </c>
      <c r="B2700" s="6" t="s">
        <v>6295</v>
      </c>
      <c r="C2700" s="1952">
        <v>5866</v>
      </c>
      <c r="D2700" s="1952">
        <v>6828065</v>
      </c>
      <c r="E2700" s="1953">
        <v>0</v>
      </c>
      <c r="F2700" s="1954">
        <v>100</v>
      </c>
      <c r="G2700" s="1955">
        <v>0</v>
      </c>
    </row>
    <row r="2701" spans="1:7" x14ac:dyDescent="0.25">
      <c r="A2701" s="3353" t="s">
        <v>148</v>
      </c>
      <c r="B2701" s="3354"/>
      <c r="C2701" s="3354"/>
      <c r="D2701" s="3354"/>
      <c r="E2701" s="3354"/>
      <c r="F2701" s="3354"/>
      <c r="G2701" s="3354"/>
    </row>
    <row r="2702" spans="1:7" x14ac:dyDescent="0.25">
      <c r="A2702" s="11" t="s">
        <v>996</v>
      </c>
      <c r="B2702" s="11" t="s">
        <v>997</v>
      </c>
      <c r="C2702" s="1964">
        <v>5350</v>
      </c>
      <c r="D2702" s="1964">
        <v>5332779.7068062602</v>
      </c>
      <c r="E2702" s="1965">
        <v>39298.951232794498</v>
      </c>
      <c r="F2702" s="1966">
        <v>92.540571456734597</v>
      </c>
      <c r="G2702" s="1967">
        <v>5.0995369406614303E-2</v>
      </c>
    </row>
    <row r="2703" spans="1:7" x14ac:dyDescent="0.25">
      <c r="A2703" s="6" t="s">
        <v>982</v>
      </c>
      <c r="B2703" s="6" t="s">
        <v>983</v>
      </c>
      <c r="C2703" s="1960">
        <v>204</v>
      </c>
      <c r="D2703" s="1960">
        <v>429859.990420477</v>
      </c>
      <c r="E2703" s="1961">
        <v>8.2760638930812896E-2</v>
      </c>
      <c r="F2703" s="1962">
        <v>7.4594285432654504</v>
      </c>
      <c r="G2703" s="1963">
        <v>5.0995369406614303E-2</v>
      </c>
    </row>
    <row r="2704" spans="1:7" x14ac:dyDescent="0.25">
      <c r="A2704" s="11" t="s">
        <v>6293</v>
      </c>
      <c r="B2704" s="11" t="s">
        <v>6294</v>
      </c>
      <c r="C2704" s="1964">
        <v>460</v>
      </c>
      <c r="D2704" s="1964">
        <v>1065425.3027732701</v>
      </c>
      <c r="E2704" s="1965">
        <v>39298.954854128999</v>
      </c>
      <c r="F2704" s="1966">
        <v>15.6036198069771</v>
      </c>
      <c r="G2704" s="1967">
        <v>0.575550391716111</v>
      </c>
    </row>
    <row r="2705" spans="1:7" x14ac:dyDescent="0.25">
      <c r="A2705" s="6" t="s">
        <v>6293</v>
      </c>
      <c r="B2705" s="6" t="s">
        <v>6295</v>
      </c>
      <c r="C2705" s="1960">
        <v>6014</v>
      </c>
      <c r="D2705" s="1960">
        <v>6828065</v>
      </c>
      <c r="E2705" s="1961">
        <v>0</v>
      </c>
      <c r="F2705" s="1962">
        <v>100</v>
      </c>
      <c r="G2705" s="1963">
        <v>0</v>
      </c>
    </row>
    <row r="2706" spans="1:7" x14ac:dyDescent="0.25">
      <c r="A2706" s="3353" t="s">
        <v>583</v>
      </c>
      <c r="B2706" s="3354"/>
      <c r="C2706" s="3354"/>
      <c r="D2706" s="3354"/>
      <c r="E2706" s="3354"/>
      <c r="F2706" s="3354"/>
      <c r="G2706" s="3354"/>
    </row>
    <row r="2707" spans="1:7" x14ac:dyDescent="0.25">
      <c r="A2707" s="11" t="s">
        <v>988</v>
      </c>
      <c r="B2707" s="11" t="s">
        <v>6016</v>
      </c>
      <c r="C2707" s="1972">
        <v>4023</v>
      </c>
      <c r="D2707" s="1972">
        <v>5101583.5189491101</v>
      </c>
      <c r="E2707" s="1973">
        <v>112625.018998673</v>
      </c>
      <c r="F2707" s="1974">
        <v>74.714923172950193</v>
      </c>
      <c r="G2707" s="1975">
        <v>1.64944268982016</v>
      </c>
    </row>
    <row r="2708" spans="1:7" x14ac:dyDescent="0.25">
      <c r="A2708" s="6" t="s">
        <v>986</v>
      </c>
      <c r="B2708" s="6" t="s">
        <v>6015</v>
      </c>
      <c r="C2708" s="1968">
        <v>2058</v>
      </c>
      <c r="D2708" s="1968">
        <v>1726481.4810509</v>
      </c>
      <c r="E2708" s="1969">
        <v>112625.01899866801</v>
      </c>
      <c r="F2708" s="1970">
        <v>25.285076827049799</v>
      </c>
      <c r="G2708" s="1971">
        <v>1.64944268982016</v>
      </c>
    </row>
    <row r="2709" spans="1:7" x14ac:dyDescent="0.25">
      <c r="A2709" s="11" t="s">
        <v>6293</v>
      </c>
      <c r="B2709" s="11" t="s">
        <v>6294</v>
      </c>
      <c r="C2709" s="1972">
        <v>6081</v>
      </c>
      <c r="D2709" s="1972">
        <v>6828065.0000000102</v>
      </c>
      <c r="E2709" s="1973">
        <v>6.9124322099810902E-8</v>
      </c>
      <c r="F2709" s="1974">
        <v>100</v>
      </c>
      <c r="G2709" s="1975">
        <v>1.45362315675074E-14</v>
      </c>
    </row>
    <row r="2710" spans="1:7" x14ac:dyDescent="0.25">
      <c r="A2710" s="6" t="s">
        <v>6293</v>
      </c>
      <c r="B2710" s="6" t="s">
        <v>6295</v>
      </c>
      <c r="C2710" s="1968">
        <v>6081</v>
      </c>
      <c r="D2710" s="1968">
        <v>6828065.0000000102</v>
      </c>
      <c r="E2710" s="1969">
        <v>0</v>
      </c>
      <c r="F2710" s="1970">
        <v>100</v>
      </c>
      <c r="G2710" s="1971">
        <v>0</v>
      </c>
    </row>
    <row r="2711" spans="1:7" x14ac:dyDescent="0.25">
      <c r="A2711" s="3353" t="s">
        <v>558</v>
      </c>
      <c r="B2711" s="3354"/>
      <c r="C2711" s="3354"/>
      <c r="D2711" s="3354"/>
      <c r="E2711" s="3354"/>
      <c r="F2711" s="3354"/>
      <c r="G2711" s="3354"/>
    </row>
    <row r="2712" spans="1:7" x14ac:dyDescent="0.25">
      <c r="A2712" s="11" t="s">
        <v>1069</v>
      </c>
      <c r="B2712" s="11"/>
      <c r="C2712" s="1980">
        <v>42</v>
      </c>
      <c r="D2712" s="1980">
        <v>148978.44583029201</v>
      </c>
      <c r="E2712" s="1981">
        <v>31737.250806292301</v>
      </c>
      <c r="F2712" s="1982">
        <v>2.1818545346345202</v>
      </c>
      <c r="G2712" s="1983">
        <v>0.46480592680784699</v>
      </c>
    </row>
    <row r="2713" spans="1:7" x14ac:dyDescent="0.25">
      <c r="A2713" s="6" t="s">
        <v>1077</v>
      </c>
      <c r="B2713" s="6"/>
      <c r="C2713" s="1976">
        <v>64</v>
      </c>
      <c r="D2713" s="1976">
        <v>145388.28359777</v>
      </c>
      <c r="E2713" s="1977">
        <v>31156.872129776999</v>
      </c>
      <c r="F2713" s="1978">
        <v>2.12927503762443</v>
      </c>
      <c r="G2713" s="1979">
        <v>0.45630602710690399</v>
      </c>
    </row>
    <row r="2714" spans="1:7" x14ac:dyDescent="0.25">
      <c r="A2714" s="11" t="s">
        <v>6304</v>
      </c>
      <c r="B2714" s="11"/>
      <c r="C2714" s="1980">
        <v>50</v>
      </c>
      <c r="D2714" s="1980">
        <v>132405.87105816501</v>
      </c>
      <c r="E2714" s="1981">
        <v>26842.418572985502</v>
      </c>
      <c r="F2714" s="1982">
        <v>1.9391419246618899</v>
      </c>
      <c r="G2714" s="1983">
        <v>0.39311896669093699</v>
      </c>
    </row>
    <row r="2715" spans="1:7" x14ac:dyDescent="0.25">
      <c r="A2715" s="6" t="s">
        <v>1103</v>
      </c>
      <c r="B2715" s="6"/>
      <c r="C2715" s="1976">
        <v>150</v>
      </c>
      <c r="D2715" s="1976">
        <v>131301.41318980401</v>
      </c>
      <c r="E2715" s="1977">
        <v>22001.9992509361</v>
      </c>
      <c r="F2715" s="1978">
        <v>1.92296665585059</v>
      </c>
      <c r="G2715" s="1979">
        <v>0.32222890747138699</v>
      </c>
    </row>
    <row r="2716" spans="1:7" x14ac:dyDescent="0.25">
      <c r="A2716" s="11" t="s">
        <v>1083</v>
      </c>
      <c r="B2716" s="11"/>
      <c r="C2716" s="1980">
        <v>51</v>
      </c>
      <c r="D2716" s="1980">
        <v>125161.330441162</v>
      </c>
      <c r="E2716" s="1981">
        <v>21014.0465165573</v>
      </c>
      <c r="F2716" s="1982">
        <v>1.8330424569942201</v>
      </c>
      <c r="G2716" s="1983">
        <v>0.307759907331833</v>
      </c>
    </row>
    <row r="2717" spans="1:7" x14ac:dyDescent="0.25">
      <c r="A2717" s="6" t="s">
        <v>6303</v>
      </c>
      <c r="B2717" s="6"/>
      <c r="C2717" s="1976">
        <v>65</v>
      </c>
      <c r="D2717" s="1976">
        <v>125034.661938779</v>
      </c>
      <c r="E2717" s="1977">
        <v>33819.308511850497</v>
      </c>
      <c r="F2717" s="1978">
        <v>1.8311873413445701</v>
      </c>
      <c r="G2717" s="1979">
        <v>0.49529857304888703</v>
      </c>
    </row>
    <row r="2718" spans="1:7" x14ac:dyDescent="0.25">
      <c r="A2718" s="11" t="s">
        <v>6301</v>
      </c>
      <c r="B2718" s="11"/>
      <c r="C2718" s="1980">
        <v>49</v>
      </c>
      <c r="D2718" s="1980">
        <v>124176.51587436799</v>
      </c>
      <c r="E2718" s="1981">
        <v>19430.322159249601</v>
      </c>
      <c r="F2718" s="1982">
        <v>1.81861941669226</v>
      </c>
      <c r="G2718" s="1983">
        <v>0.28456557105489899</v>
      </c>
    </row>
    <row r="2719" spans="1:7" x14ac:dyDescent="0.25">
      <c r="A2719" s="6" t="s">
        <v>1179</v>
      </c>
      <c r="B2719" s="6"/>
      <c r="C2719" s="1976">
        <v>54</v>
      </c>
      <c r="D2719" s="1976">
        <v>121702.090835204</v>
      </c>
      <c r="E2719" s="1977">
        <v>25448.4394469334</v>
      </c>
      <c r="F2719" s="1978">
        <v>1.78238037914408</v>
      </c>
      <c r="G2719" s="1979">
        <v>0.37270353236141301</v>
      </c>
    </row>
    <row r="2720" spans="1:7" x14ac:dyDescent="0.25">
      <c r="A2720" s="11" t="s">
        <v>6457</v>
      </c>
      <c r="B2720" s="11"/>
      <c r="C2720" s="1980">
        <v>169</v>
      </c>
      <c r="D2720" s="1980">
        <v>118584.74989823101</v>
      </c>
      <c r="E2720" s="1981">
        <v>19312.909927140601</v>
      </c>
      <c r="F2720" s="1982">
        <v>1.7367255569217801</v>
      </c>
      <c r="G2720" s="1983">
        <v>0.28284601753411298</v>
      </c>
    </row>
    <row r="2721" spans="1:7" x14ac:dyDescent="0.25">
      <c r="A2721" s="6" t="s">
        <v>3069</v>
      </c>
      <c r="B2721" s="6"/>
      <c r="C2721" s="1976">
        <v>55</v>
      </c>
      <c r="D2721" s="1976">
        <v>116869.35241902299</v>
      </c>
      <c r="E2721" s="1977">
        <v>18023.636460277401</v>
      </c>
      <c r="F2721" s="1978">
        <v>1.71160281015227</v>
      </c>
      <c r="G2721" s="1979">
        <v>0.26396404340435198</v>
      </c>
    </row>
    <row r="2722" spans="1:7" x14ac:dyDescent="0.25">
      <c r="A2722" s="11" t="s">
        <v>1183</v>
      </c>
      <c r="B2722" s="11"/>
      <c r="C2722" s="1980">
        <v>65</v>
      </c>
      <c r="D2722" s="1980">
        <v>116409.572631836</v>
      </c>
      <c r="E2722" s="1981">
        <v>28381.321583338002</v>
      </c>
      <c r="F2722" s="1982">
        <v>1.70486913396162</v>
      </c>
      <c r="G2722" s="1983">
        <v>0.41565687472714602</v>
      </c>
    </row>
    <row r="2723" spans="1:7" x14ac:dyDescent="0.25">
      <c r="A2723" s="6" t="s">
        <v>3099</v>
      </c>
      <c r="B2723" s="6"/>
      <c r="C2723" s="1976">
        <v>109</v>
      </c>
      <c r="D2723" s="1976">
        <v>114681.943812635</v>
      </c>
      <c r="E2723" s="1977">
        <v>22847.712892480002</v>
      </c>
      <c r="F2723" s="1978">
        <v>1.67956725386526</v>
      </c>
      <c r="G2723" s="1979">
        <v>0.33461475385017603</v>
      </c>
    </row>
    <row r="2724" spans="1:7" x14ac:dyDescent="0.25">
      <c r="A2724" s="11" t="s">
        <v>6296</v>
      </c>
      <c r="B2724" s="11"/>
      <c r="C2724" s="1980">
        <v>49</v>
      </c>
      <c r="D2724" s="1980">
        <v>114346.454073007</v>
      </c>
      <c r="E2724" s="1981">
        <v>21252.815156861001</v>
      </c>
      <c r="F2724" s="1982">
        <v>1.67465385981251</v>
      </c>
      <c r="G2724" s="1983">
        <v>0.31125677855821499</v>
      </c>
    </row>
    <row r="2725" spans="1:7" x14ac:dyDescent="0.25">
      <c r="A2725" s="6" t="s">
        <v>1181</v>
      </c>
      <c r="B2725" s="6"/>
      <c r="C2725" s="1976">
        <v>54</v>
      </c>
      <c r="D2725" s="1976">
        <v>113557.28532319301</v>
      </c>
      <c r="E2725" s="1977">
        <v>24483.351062605001</v>
      </c>
      <c r="F2725" s="1978">
        <v>1.6630961381181</v>
      </c>
      <c r="G2725" s="1979">
        <v>0.35856939063416898</v>
      </c>
    </row>
    <row r="2726" spans="1:7" x14ac:dyDescent="0.25">
      <c r="A2726" s="11" t="s">
        <v>1017</v>
      </c>
      <c r="B2726" s="11"/>
      <c r="C2726" s="1980">
        <v>43</v>
      </c>
      <c r="D2726" s="1980">
        <v>110378.03386831599</v>
      </c>
      <c r="E2726" s="1981">
        <v>26522.446762920201</v>
      </c>
      <c r="F2726" s="1982">
        <v>1.61653460926801</v>
      </c>
      <c r="G2726" s="1983">
        <v>0.38843283950753499</v>
      </c>
    </row>
    <row r="2727" spans="1:7" x14ac:dyDescent="0.25">
      <c r="A2727" s="6" t="s">
        <v>3197</v>
      </c>
      <c r="B2727" s="6"/>
      <c r="C2727" s="1976">
        <v>99</v>
      </c>
      <c r="D2727" s="1976">
        <v>108813.30460060701</v>
      </c>
      <c r="E2727" s="1977">
        <v>17369.520232099399</v>
      </c>
      <c r="F2727" s="1978">
        <v>1.59361846439081</v>
      </c>
      <c r="G2727" s="1979">
        <v>0.25438422499052699</v>
      </c>
    </row>
    <row r="2728" spans="1:7" x14ac:dyDescent="0.25">
      <c r="A2728" s="11" t="s">
        <v>1033</v>
      </c>
      <c r="B2728" s="11"/>
      <c r="C2728" s="1980">
        <v>38</v>
      </c>
      <c r="D2728" s="1980">
        <v>108516.570283968</v>
      </c>
      <c r="E2728" s="1981">
        <v>24356.192363209499</v>
      </c>
      <c r="F2728" s="1982">
        <v>1.5892726604677601</v>
      </c>
      <c r="G2728" s="1983">
        <v>0.35670709583475801</v>
      </c>
    </row>
    <row r="2729" spans="1:7" x14ac:dyDescent="0.25">
      <c r="A2729" s="6" t="s">
        <v>1097</v>
      </c>
      <c r="B2729" s="6"/>
      <c r="C2729" s="1976">
        <v>76</v>
      </c>
      <c r="D2729" s="1976">
        <v>101747.24018787799</v>
      </c>
      <c r="E2729" s="1977">
        <v>26126.921089887401</v>
      </c>
      <c r="F2729" s="1978">
        <v>1.49013285883889</v>
      </c>
      <c r="G2729" s="1979">
        <v>0.38264019293734602</v>
      </c>
    </row>
    <row r="2730" spans="1:7" x14ac:dyDescent="0.25">
      <c r="A2730" s="11" t="s">
        <v>1075</v>
      </c>
      <c r="B2730" s="11"/>
      <c r="C2730" s="1980">
        <v>21</v>
      </c>
      <c r="D2730" s="1980">
        <v>100981.955078674</v>
      </c>
      <c r="E2730" s="1981">
        <v>28678.651746195701</v>
      </c>
      <c r="F2730" s="1982">
        <v>1.4789249235130899</v>
      </c>
      <c r="G2730" s="1983">
        <v>0.420011405078828</v>
      </c>
    </row>
    <row r="2731" spans="1:7" x14ac:dyDescent="0.25">
      <c r="A2731" s="6" t="s">
        <v>3210</v>
      </c>
      <c r="B2731" s="6"/>
      <c r="C2731" s="1976">
        <v>161</v>
      </c>
      <c r="D2731" s="1976">
        <v>99237.047873879594</v>
      </c>
      <c r="E2731" s="1977">
        <v>19365.7864471633</v>
      </c>
      <c r="F2731" s="1978">
        <v>1.4533699938984099</v>
      </c>
      <c r="G2731" s="1979">
        <v>0.283620417309491</v>
      </c>
    </row>
    <row r="2732" spans="1:7" x14ac:dyDescent="0.25">
      <c r="A2732" s="11" t="s">
        <v>1089</v>
      </c>
      <c r="B2732" s="11"/>
      <c r="C2732" s="1980">
        <v>54</v>
      </c>
      <c r="D2732" s="1980">
        <v>97398.247754238706</v>
      </c>
      <c r="E2732" s="1981">
        <v>21260.6356868775</v>
      </c>
      <c r="F2732" s="1982">
        <v>1.4264399614567</v>
      </c>
      <c r="G2732" s="1983">
        <v>0.31137131364270099</v>
      </c>
    </row>
    <row r="2733" spans="1:7" x14ac:dyDescent="0.25">
      <c r="A2733" s="6" t="s">
        <v>3071</v>
      </c>
      <c r="B2733" s="6"/>
      <c r="C2733" s="1976">
        <v>51</v>
      </c>
      <c r="D2733" s="1976">
        <v>97236.758850835598</v>
      </c>
      <c r="E2733" s="1977">
        <v>28726.461316466699</v>
      </c>
      <c r="F2733" s="1978">
        <v>1.4240748857961301</v>
      </c>
      <c r="G2733" s="1979">
        <v>0.420711597157711</v>
      </c>
    </row>
    <row r="2734" spans="1:7" x14ac:dyDescent="0.25">
      <c r="A2734" s="11" t="s">
        <v>1081</v>
      </c>
      <c r="B2734" s="11"/>
      <c r="C2734" s="1980">
        <v>44</v>
      </c>
      <c r="D2734" s="1980">
        <v>96636.004414540497</v>
      </c>
      <c r="E2734" s="1981">
        <v>17558.462354810599</v>
      </c>
      <c r="F2734" s="1982">
        <v>1.4152765741764399</v>
      </c>
      <c r="G2734" s="1983">
        <v>0.25715136506185299</v>
      </c>
    </row>
    <row r="2735" spans="1:7" x14ac:dyDescent="0.25">
      <c r="A2735" s="6" t="s">
        <v>1099</v>
      </c>
      <c r="B2735" s="6"/>
      <c r="C2735" s="1976">
        <v>88</v>
      </c>
      <c r="D2735" s="1976">
        <v>96004.819342287403</v>
      </c>
      <c r="E2735" s="1977">
        <v>18104.2907005911</v>
      </c>
      <c r="F2735" s="1978">
        <v>1.4060325925761901</v>
      </c>
      <c r="G2735" s="1979">
        <v>0.26514526004938599</v>
      </c>
    </row>
    <row r="2736" spans="1:7" x14ac:dyDescent="0.25">
      <c r="A2736" s="11" t="s">
        <v>6298</v>
      </c>
      <c r="B2736" s="11"/>
      <c r="C2736" s="1980">
        <v>46</v>
      </c>
      <c r="D2736" s="1980">
        <v>95664.1066968136</v>
      </c>
      <c r="E2736" s="1981">
        <v>19546.670528054299</v>
      </c>
      <c r="F2736" s="1982">
        <v>1.4010427067817</v>
      </c>
      <c r="G2736" s="1983">
        <v>0.28626954383202802</v>
      </c>
    </row>
    <row r="2737" spans="1:7" x14ac:dyDescent="0.25">
      <c r="A2737" s="6" t="s">
        <v>3201</v>
      </c>
      <c r="B2737" s="6"/>
      <c r="C2737" s="1976">
        <v>121</v>
      </c>
      <c r="D2737" s="1976">
        <v>95256.490724795207</v>
      </c>
      <c r="E2737" s="1977">
        <v>22186.902980142298</v>
      </c>
      <c r="F2737" s="1978">
        <v>1.39507299249195</v>
      </c>
      <c r="G2737" s="1979">
        <v>0.32493690350256299</v>
      </c>
    </row>
    <row r="2738" spans="1:7" x14ac:dyDescent="0.25">
      <c r="A2738" s="11" t="s">
        <v>3060</v>
      </c>
      <c r="B2738" s="11"/>
      <c r="C2738" s="1980">
        <v>41</v>
      </c>
      <c r="D2738" s="1980">
        <v>94949.464562537003</v>
      </c>
      <c r="E2738" s="1981">
        <v>22644.795458989702</v>
      </c>
      <c r="F2738" s="1982">
        <v>1.3905764599859101</v>
      </c>
      <c r="G2738" s="1983">
        <v>0.33164293923665999</v>
      </c>
    </row>
    <row r="2739" spans="1:7" x14ac:dyDescent="0.25">
      <c r="A2739" s="6" t="s">
        <v>1023</v>
      </c>
      <c r="B2739" s="6"/>
      <c r="C2739" s="1976">
        <v>42</v>
      </c>
      <c r="D2739" s="1976">
        <v>92820.982874837297</v>
      </c>
      <c r="E2739" s="1977">
        <v>23435.425274881902</v>
      </c>
      <c r="F2739" s="1978">
        <v>1.3594039142105001</v>
      </c>
      <c r="G2739" s="1979">
        <v>0.34322205888318202</v>
      </c>
    </row>
    <row r="2740" spans="1:7" x14ac:dyDescent="0.25">
      <c r="A2740" s="11" t="s">
        <v>1079</v>
      </c>
      <c r="B2740" s="11"/>
      <c r="C2740" s="1980">
        <v>63</v>
      </c>
      <c r="D2740" s="1980">
        <v>92342.864471924797</v>
      </c>
      <c r="E2740" s="1981">
        <v>32436.947775272401</v>
      </c>
      <c r="F2740" s="1982">
        <v>1.35240166096727</v>
      </c>
      <c r="G2740" s="1983">
        <v>0.47505329511761202</v>
      </c>
    </row>
    <row r="2741" spans="1:7" x14ac:dyDescent="0.25">
      <c r="A2741" s="6" t="s">
        <v>1071</v>
      </c>
      <c r="B2741" s="6"/>
      <c r="C2741" s="1976">
        <v>31</v>
      </c>
      <c r="D2741" s="1976">
        <v>92146.107181222702</v>
      </c>
      <c r="E2741" s="1977">
        <v>20149.539540444301</v>
      </c>
      <c r="F2741" s="1978">
        <v>1.34952006434067</v>
      </c>
      <c r="G2741" s="1979">
        <v>0.29509882434400198</v>
      </c>
    </row>
    <row r="2742" spans="1:7" x14ac:dyDescent="0.25">
      <c r="A2742" s="11" t="s">
        <v>1101</v>
      </c>
      <c r="B2742" s="11"/>
      <c r="C2742" s="1980">
        <v>123</v>
      </c>
      <c r="D2742" s="1980">
        <v>91463.212843726404</v>
      </c>
      <c r="E2742" s="1981">
        <v>20416.487629704101</v>
      </c>
      <c r="F2742" s="1982">
        <v>1.3395187779221001</v>
      </c>
      <c r="G2742" s="1983">
        <v>0.29900839593214301</v>
      </c>
    </row>
    <row r="2743" spans="1:7" x14ac:dyDescent="0.25">
      <c r="A2743" s="6" t="s">
        <v>3085</v>
      </c>
      <c r="B2743" s="6"/>
      <c r="C2743" s="1976">
        <v>64</v>
      </c>
      <c r="D2743" s="1976">
        <v>89608.669017732798</v>
      </c>
      <c r="E2743" s="1977">
        <v>19575.2228488404</v>
      </c>
      <c r="F2743" s="1978">
        <v>1.3123581720111499</v>
      </c>
      <c r="G2743" s="1979">
        <v>0.28668770506491098</v>
      </c>
    </row>
    <row r="2744" spans="1:7" x14ac:dyDescent="0.25">
      <c r="A2744" s="11" t="s">
        <v>6297</v>
      </c>
      <c r="B2744" s="11"/>
      <c r="C2744" s="1980">
        <v>46</v>
      </c>
      <c r="D2744" s="1980">
        <v>89268.147334838504</v>
      </c>
      <c r="E2744" s="1981">
        <v>19585.297097398699</v>
      </c>
      <c r="F2744" s="1982">
        <v>1.3073710829472001</v>
      </c>
      <c r="G2744" s="1983">
        <v>0.28683524684370698</v>
      </c>
    </row>
    <row r="2745" spans="1:7" x14ac:dyDescent="0.25">
      <c r="A2745" s="6" t="s">
        <v>1027</v>
      </c>
      <c r="B2745" s="6"/>
      <c r="C2745" s="1976">
        <v>42</v>
      </c>
      <c r="D2745" s="1976">
        <v>87691.116088326802</v>
      </c>
      <c r="E2745" s="1977">
        <v>17413.698173226501</v>
      </c>
      <c r="F2745" s="1978">
        <v>1.28427477020689</v>
      </c>
      <c r="G2745" s="1979">
        <v>0.25503123027133601</v>
      </c>
    </row>
    <row r="2746" spans="1:7" x14ac:dyDescent="0.25">
      <c r="A2746" s="11" t="s">
        <v>3091</v>
      </c>
      <c r="B2746" s="11"/>
      <c r="C2746" s="1980">
        <v>61</v>
      </c>
      <c r="D2746" s="1980">
        <v>85934.334519487398</v>
      </c>
      <c r="E2746" s="1981">
        <v>23006.802747295202</v>
      </c>
      <c r="F2746" s="1982">
        <v>1.25854593533435</v>
      </c>
      <c r="G2746" s="1983">
        <v>0.33694469439431601</v>
      </c>
    </row>
    <row r="2747" spans="1:7" x14ac:dyDescent="0.25">
      <c r="A2747" s="6" t="s">
        <v>1021</v>
      </c>
      <c r="B2747" s="6"/>
      <c r="C2747" s="1976">
        <v>42</v>
      </c>
      <c r="D2747" s="1976">
        <v>85723.497817262498</v>
      </c>
      <c r="E2747" s="1977">
        <v>20977.921590183902</v>
      </c>
      <c r="F2747" s="1978">
        <v>1.2554581395646101</v>
      </c>
      <c r="G2747" s="1979">
        <v>0.30723084197622402</v>
      </c>
    </row>
    <row r="2748" spans="1:7" x14ac:dyDescent="0.25">
      <c r="A2748" s="11" t="s">
        <v>1087</v>
      </c>
      <c r="B2748" s="11"/>
      <c r="C2748" s="1980">
        <v>44</v>
      </c>
      <c r="D2748" s="1980">
        <v>85706.949489746505</v>
      </c>
      <c r="E2748" s="1981">
        <v>27697.0683017396</v>
      </c>
      <c r="F2748" s="1982">
        <v>1.2552157820663199</v>
      </c>
      <c r="G2748" s="1983">
        <v>0.40563568597749999</v>
      </c>
    </row>
    <row r="2749" spans="1:7" x14ac:dyDescent="0.25">
      <c r="A2749" s="6" t="s">
        <v>1073</v>
      </c>
      <c r="B2749" s="6"/>
      <c r="C2749" s="1976">
        <v>29</v>
      </c>
      <c r="D2749" s="1976">
        <v>85146.256927434297</v>
      </c>
      <c r="E2749" s="1977">
        <v>33899.1190494162</v>
      </c>
      <c r="F2749" s="1978">
        <v>1.24700419412285</v>
      </c>
      <c r="G2749" s="1979">
        <v>0.49646743329795801</v>
      </c>
    </row>
    <row r="2750" spans="1:7" x14ac:dyDescent="0.25">
      <c r="A2750" s="11" t="s">
        <v>6458</v>
      </c>
      <c r="B2750" s="11"/>
      <c r="C2750" s="1980">
        <v>166</v>
      </c>
      <c r="D2750" s="1980">
        <v>85135.682341042295</v>
      </c>
      <c r="E2750" s="1981">
        <v>15280.4932972844</v>
      </c>
      <c r="F2750" s="1982">
        <v>1.2468493246775201</v>
      </c>
      <c r="G2750" s="1983">
        <v>0.22378951133717001</v>
      </c>
    </row>
    <row r="2751" spans="1:7" x14ac:dyDescent="0.25">
      <c r="A2751" s="6" t="s">
        <v>1029</v>
      </c>
      <c r="B2751" s="6"/>
      <c r="C2751" s="1976">
        <v>56</v>
      </c>
      <c r="D2751" s="1976">
        <v>83328.122560898701</v>
      </c>
      <c r="E2751" s="1977">
        <v>14170.5087311481</v>
      </c>
      <c r="F2751" s="1978">
        <v>1.22037682067905</v>
      </c>
      <c r="G2751" s="1979">
        <v>0.207533301618367</v>
      </c>
    </row>
    <row r="2752" spans="1:7" x14ac:dyDescent="0.25">
      <c r="A2752" s="11" t="s">
        <v>3073</v>
      </c>
      <c r="B2752" s="11"/>
      <c r="C2752" s="1980">
        <v>52</v>
      </c>
      <c r="D2752" s="1980">
        <v>82388.388622046405</v>
      </c>
      <c r="E2752" s="1981">
        <v>12805.953644859699</v>
      </c>
      <c r="F2752" s="1982">
        <v>1.2066140059013299</v>
      </c>
      <c r="G2752" s="1983">
        <v>0.18754879522763299</v>
      </c>
    </row>
    <row r="2753" spans="1:7" x14ac:dyDescent="0.25">
      <c r="A2753" s="6" t="s">
        <v>6300</v>
      </c>
      <c r="B2753" s="6"/>
      <c r="C2753" s="1976">
        <v>45</v>
      </c>
      <c r="D2753" s="1976">
        <v>81170.942279316296</v>
      </c>
      <c r="E2753" s="1977">
        <v>17807.958663158799</v>
      </c>
      <c r="F2753" s="1978">
        <v>1.1887839714372399</v>
      </c>
      <c r="G2753" s="1979">
        <v>0.26080534768135299</v>
      </c>
    </row>
    <row r="2754" spans="1:7" x14ac:dyDescent="0.25">
      <c r="A2754" s="11" t="s">
        <v>3075</v>
      </c>
      <c r="B2754" s="11"/>
      <c r="C2754" s="1980">
        <v>43</v>
      </c>
      <c r="D2754" s="1980">
        <v>79545.357733748097</v>
      </c>
      <c r="E2754" s="1981">
        <v>14064.805894328099</v>
      </c>
      <c r="F2754" s="1982">
        <v>1.16497657438452</v>
      </c>
      <c r="G2754" s="1983">
        <v>0.205985237315814</v>
      </c>
    </row>
    <row r="2755" spans="1:7" x14ac:dyDescent="0.25">
      <c r="A2755" s="6" t="s">
        <v>1031</v>
      </c>
      <c r="B2755" s="6"/>
      <c r="C2755" s="1976">
        <v>41</v>
      </c>
      <c r="D2755" s="1976">
        <v>78462.639077416898</v>
      </c>
      <c r="E2755" s="1977">
        <v>18784.599339537501</v>
      </c>
      <c r="F2755" s="1978">
        <v>1.14911968584682</v>
      </c>
      <c r="G2755" s="1979">
        <v>0.27510867778115</v>
      </c>
    </row>
    <row r="2756" spans="1:7" x14ac:dyDescent="0.25">
      <c r="A2756" s="11" t="s">
        <v>1093</v>
      </c>
      <c r="B2756" s="11"/>
      <c r="C2756" s="1980">
        <v>69</v>
      </c>
      <c r="D2756" s="1980">
        <v>78336.864680730097</v>
      </c>
      <c r="E2756" s="1981">
        <v>20252.716768676401</v>
      </c>
      <c r="F2756" s="1982">
        <v>1.1472776647663701</v>
      </c>
      <c r="G2756" s="1983">
        <v>0.29660990000353499</v>
      </c>
    </row>
    <row r="2757" spans="1:7" x14ac:dyDescent="0.25">
      <c r="A2757" s="6" t="s">
        <v>1019</v>
      </c>
      <c r="B2757" s="6"/>
      <c r="C2757" s="1976">
        <v>40</v>
      </c>
      <c r="D2757" s="1976">
        <v>77950.018183716806</v>
      </c>
      <c r="E2757" s="1977">
        <v>11036.174683155499</v>
      </c>
      <c r="F2757" s="1978">
        <v>1.1416121285271399</v>
      </c>
      <c r="G2757" s="1979">
        <v>0.16162960784871699</v>
      </c>
    </row>
    <row r="2758" spans="1:7" x14ac:dyDescent="0.25">
      <c r="A2758" s="11" t="s">
        <v>3199</v>
      </c>
      <c r="B2758" s="11"/>
      <c r="C2758" s="1980">
        <v>110</v>
      </c>
      <c r="D2758" s="1980">
        <v>75476.300707142596</v>
      </c>
      <c r="E2758" s="1981">
        <v>18043.751022289602</v>
      </c>
      <c r="F2758" s="1982">
        <v>1.10538345354273</v>
      </c>
      <c r="G2758" s="1983">
        <v>0.264258629967488</v>
      </c>
    </row>
    <row r="2759" spans="1:7" x14ac:dyDescent="0.25">
      <c r="A2759" s="6" t="s">
        <v>1085</v>
      </c>
      <c r="B2759" s="6"/>
      <c r="C2759" s="1976">
        <v>38</v>
      </c>
      <c r="D2759" s="1976">
        <v>74793.202986343997</v>
      </c>
      <c r="E2759" s="1977">
        <v>21199.784922262399</v>
      </c>
      <c r="F2759" s="1978">
        <v>1.0953791884866899</v>
      </c>
      <c r="G2759" s="1979">
        <v>0.310480127565605</v>
      </c>
    </row>
    <row r="2760" spans="1:7" x14ac:dyDescent="0.25">
      <c r="A2760" s="11" t="s">
        <v>3208</v>
      </c>
      <c r="B2760" s="11"/>
      <c r="C2760" s="1980">
        <v>163</v>
      </c>
      <c r="D2760" s="1980">
        <v>73975.216137564406</v>
      </c>
      <c r="E2760" s="1981">
        <v>15601.2821603587</v>
      </c>
      <c r="F2760" s="1982">
        <v>1.08339941312164</v>
      </c>
      <c r="G2760" s="1983">
        <v>0.22848760461944501</v>
      </c>
    </row>
    <row r="2761" spans="1:7" x14ac:dyDescent="0.25">
      <c r="A2761" s="6" t="s">
        <v>1091</v>
      </c>
      <c r="B2761" s="6"/>
      <c r="C2761" s="1976">
        <v>55</v>
      </c>
      <c r="D2761" s="1976">
        <v>73831.720234605702</v>
      </c>
      <c r="E2761" s="1977">
        <v>29949.731640529</v>
      </c>
      <c r="F2761" s="1978">
        <v>1.0812978528266199</v>
      </c>
      <c r="G2761" s="1979">
        <v>0.43862692637707801</v>
      </c>
    </row>
    <row r="2762" spans="1:7" x14ac:dyDescent="0.25">
      <c r="A2762" s="11" t="s">
        <v>1177</v>
      </c>
      <c r="B2762" s="11"/>
      <c r="C2762" s="1980">
        <v>28</v>
      </c>
      <c r="D2762" s="1980">
        <v>71854.031081678695</v>
      </c>
      <c r="E2762" s="1981">
        <v>20528.084645527899</v>
      </c>
      <c r="F2762" s="1982">
        <v>1.0523337297122799</v>
      </c>
      <c r="G2762" s="1983">
        <v>0.300642783065596</v>
      </c>
    </row>
    <row r="2763" spans="1:7" x14ac:dyDescent="0.25">
      <c r="A2763" s="6" t="s">
        <v>3212</v>
      </c>
      <c r="B2763" s="6"/>
      <c r="C2763" s="1976">
        <v>166</v>
      </c>
      <c r="D2763" s="1976">
        <v>71299.151150972903</v>
      </c>
      <c r="E2763" s="1977">
        <v>15470.460354041101</v>
      </c>
      <c r="F2763" s="1978">
        <v>1.0442072703023899</v>
      </c>
      <c r="G2763" s="1979">
        <v>0.226571662016123</v>
      </c>
    </row>
    <row r="2764" spans="1:7" x14ac:dyDescent="0.25">
      <c r="A2764" s="11" t="s">
        <v>6299</v>
      </c>
      <c r="B2764" s="11"/>
      <c r="C2764" s="1980">
        <v>39</v>
      </c>
      <c r="D2764" s="1980">
        <v>70240.572922523905</v>
      </c>
      <c r="E2764" s="1981">
        <v>13267.6089376502</v>
      </c>
      <c r="F2764" s="1982">
        <v>1.0287039288952899</v>
      </c>
      <c r="G2764" s="1983">
        <v>0.194309939018597</v>
      </c>
    </row>
    <row r="2765" spans="1:7" x14ac:dyDescent="0.25">
      <c r="A2765" s="6" t="s">
        <v>1107</v>
      </c>
      <c r="B2765" s="6"/>
      <c r="C2765" s="1976">
        <v>134</v>
      </c>
      <c r="D2765" s="1976">
        <v>69949.478479628597</v>
      </c>
      <c r="E2765" s="1977">
        <v>21597.5742403718</v>
      </c>
      <c r="F2765" s="1978">
        <v>1.02444072339131</v>
      </c>
      <c r="G2765" s="1979">
        <v>0.31630592620855003</v>
      </c>
    </row>
    <row r="2766" spans="1:7" x14ac:dyDescent="0.25">
      <c r="A2766" s="11" t="s">
        <v>1111</v>
      </c>
      <c r="B2766" s="11"/>
      <c r="C2766" s="1980">
        <v>131</v>
      </c>
      <c r="D2766" s="1980">
        <v>69426.540722942096</v>
      </c>
      <c r="E2766" s="1981">
        <v>15238.3207199355</v>
      </c>
      <c r="F2766" s="1982">
        <v>1.0167820710983599</v>
      </c>
      <c r="G2766" s="1983">
        <v>0.22317187548647299</v>
      </c>
    </row>
    <row r="2767" spans="1:7" x14ac:dyDescent="0.25">
      <c r="A2767" s="6" t="s">
        <v>1113</v>
      </c>
      <c r="B2767" s="6"/>
      <c r="C2767" s="1976">
        <v>121</v>
      </c>
      <c r="D2767" s="1976">
        <v>68859.071024801306</v>
      </c>
      <c r="E2767" s="1977">
        <v>14953.6149684141</v>
      </c>
      <c r="F2767" s="1978">
        <v>1.0084712290348901</v>
      </c>
      <c r="G2767" s="1979">
        <v>0.21900223516346301</v>
      </c>
    </row>
    <row r="2768" spans="1:7" x14ac:dyDescent="0.25">
      <c r="A2768" s="11" t="s">
        <v>3056</v>
      </c>
      <c r="B2768" s="11"/>
      <c r="C2768" s="1980">
        <v>32</v>
      </c>
      <c r="D2768" s="1980">
        <v>68418.669113506898</v>
      </c>
      <c r="E2768" s="1981">
        <v>19729.458025588399</v>
      </c>
      <c r="F2768" s="1982">
        <v>1.0020213503167701</v>
      </c>
      <c r="G2768" s="1983">
        <v>0.288946546724269</v>
      </c>
    </row>
    <row r="2769" spans="1:7" x14ac:dyDescent="0.25">
      <c r="A2769" s="6" t="s">
        <v>6302</v>
      </c>
      <c r="B2769" s="6"/>
      <c r="C2769" s="1976">
        <v>39</v>
      </c>
      <c r="D2769" s="1976">
        <v>66939.034041512205</v>
      </c>
      <c r="E2769" s="1977">
        <v>17653.6227136575</v>
      </c>
      <c r="F2769" s="1978">
        <v>0.980351447174452</v>
      </c>
      <c r="G2769" s="1979">
        <v>0.25854503016092401</v>
      </c>
    </row>
    <row r="2770" spans="1:7" x14ac:dyDescent="0.25">
      <c r="A2770" s="11" t="s">
        <v>1185</v>
      </c>
      <c r="B2770" s="11"/>
      <c r="C2770" s="1980">
        <v>128</v>
      </c>
      <c r="D2770" s="1980">
        <v>65426.575654141001</v>
      </c>
      <c r="E2770" s="1981">
        <v>12497.9211994588</v>
      </c>
      <c r="F2770" s="1982">
        <v>0.95820083221441199</v>
      </c>
      <c r="G2770" s="1983">
        <v>0.18303752526460801</v>
      </c>
    </row>
    <row r="2771" spans="1:7" x14ac:dyDescent="0.25">
      <c r="A2771" s="6" t="s">
        <v>1187</v>
      </c>
      <c r="B2771" s="6"/>
      <c r="C2771" s="1976">
        <v>145</v>
      </c>
      <c r="D2771" s="1976">
        <v>65182.066768454897</v>
      </c>
      <c r="E2771" s="1977">
        <v>14379.2025671429</v>
      </c>
      <c r="F2771" s="1978">
        <v>0.95461989258237701</v>
      </c>
      <c r="G2771" s="1979">
        <v>0.210589714174409</v>
      </c>
    </row>
    <row r="2772" spans="1:7" x14ac:dyDescent="0.25">
      <c r="A2772" s="11" t="s">
        <v>1095</v>
      </c>
      <c r="B2772" s="11"/>
      <c r="C2772" s="1980">
        <v>78</v>
      </c>
      <c r="D2772" s="1980">
        <v>65037.483550949</v>
      </c>
      <c r="E2772" s="1981">
        <v>20942.379076649398</v>
      </c>
      <c r="F2772" s="1982">
        <v>0.95250240808997899</v>
      </c>
      <c r="G2772" s="1983">
        <v>0.30671030631151502</v>
      </c>
    </row>
    <row r="2773" spans="1:7" x14ac:dyDescent="0.25">
      <c r="A2773" s="6" t="s">
        <v>1105</v>
      </c>
      <c r="B2773" s="6"/>
      <c r="C2773" s="1976">
        <v>124</v>
      </c>
      <c r="D2773" s="1976">
        <v>64455.422860760002</v>
      </c>
      <c r="E2773" s="1977">
        <v>19069.517346470901</v>
      </c>
      <c r="F2773" s="1978">
        <v>0.94397787456270499</v>
      </c>
      <c r="G2773" s="1979">
        <v>0.27928142667755701</v>
      </c>
    </row>
    <row r="2774" spans="1:7" x14ac:dyDescent="0.25">
      <c r="A2774" s="11" t="s">
        <v>3097</v>
      </c>
      <c r="B2774" s="11"/>
      <c r="C2774" s="1980">
        <v>82</v>
      </c>
      <c r="D2774" s="1980">
        <v>62676.226173951298</v>
      </c>
      <c r="E2774" s="1981">
        <v>18343.644986379099</v>
      </c>
      <c r="F2774" s="1982">
        <v>0.91792076047827997</v>
      </c>
      <c r="G2774" s="1983">
        <v>0.26865070831017501</v>
      </c>
    </row>
    <row r="2775" spans="1:7" x14ac:dyDescent="0.25">
      <c r="A2775" s="6" t="s">
        <v>3083</v>
      </c>
      <c r="B2775" s="6"/>
      <c r="C2775" s="1976">
        <v>64</v>
      </c>
      <c r="D2775" s="1976">
        <v>62083.955696633297</v>
      </c>
      <c r="E2775" s="1977">
        <v>17040.4471606972</v>
      </c>
      <c r="F2775" s="1978">
        <v>0.909246700150531</v>
      </c>
      <c r="G2775" s="1979">
        <v>0.24956480585198301</v>
      </c>
    </row>
    <row r="2776" spans="1:7" x14ac:dyDescent="0.25">
      <c r="A2776" s="11" t="s">
        <v>1035</v>
      </c>
      <c r="B2776" s="11"/>
      <c r="C2776" s="1980">
        <v>40</v>
      </c>
      <c r="D2776" s="1980">
        <v>61959.579805745198</v>
      </c>
      <c r="E2776" s="1981">
        <v>17679.295315124898</v>
      </c>
      <c r="F2776" s="1982">
        <v>0.90742516079951197</v>
      </c>
      <c r="G2776" s="1983">
        <v>0.258921016644173</v>
      </c>
    </row>
    <row r="2777" spans="1:7" x14ac:dyDescent="0.25">
      <c r="A2777" s="6" t="s">
        <v>1115</v>
      </c>
      <c r="B2777" s="6"/>
      <c r="C2777" s="1976">
        <v>117</v>
      </c>
      <c r="D2777" s="1976">
        <v>58257.439598530596</v>
      </c>
      <c r="E2777" s="1977">
        <v>12817.2796488532</v>
      </c>
      <c r="F2777" s="1978">
        <v>0.85320569734662099</v>
      </c>
      <c r="G2777" s="1979">
        <v>0.18771466951256599</v>
      </c>
    </row>
    <row r="2778" spans="1:7" x14ac:dyDescent="0.25">
      <c r="A2778" s="11" t="s">
        <v>1025</v>
      </c>
      <c r="B2778" s="11"/>
      <c r="C2778" s="1980">
        <v>40</v>
      </c>
      <c r="D2778" s="1980">
        <v>56516.884768520402</v>
      </c>
      <c r="E2778" s="1981">
        <v>14017.5762220943</v>
      </c>
      <c r="F2778" s="1982">
        <v>0.82771451016533004</v>
      </c>
      <c r="G2778" s="1983">
        <v>0.20529353809745901</v>
      </c>
    </row>
    <row r="2779" spans="1:7" x14ac:dyDescent="0.25">
      <c r="A2779" s="6" t="s">
        <v>1109</v>
      </c>
      <c r="B2779" s="6"/>
      <c r="C2779" s="1976">
        <v>128</v>
      </c>
      <c r="D2779" s="1976">
        <v>56443.316310133101</v>
      </c>
      <c r="E2779" s="1977">
        <v>10294.8869216368</v>
      </c>
      <c r="F2779" s="1978">
        <v>0.82663706789746505</v>
      </c>
      <c r="G2779" s="1979">
        <v>0.15077312418140201</v>
      </c>
    </row>
    <row r="2780" spans="1:7" x14ac:dyDescent="0.25">
      <c r="A2780" s="11" t="s">
        <v>3054</v>
      </c>
      <c r="B2780" s="11"/>
      <c r="C2780" s="1980">
        <v>34</v>
      </c>
      <c r="D2780" s="1980">
        <v>53931.631949982599</v>
      </c>
      <c r="E2780" s="1981">
        <v>18983.774459170399</v>
      </c>
      <c r="F2780" s="1982">
        <v>0.78985235128814102</v>
      </c>
      <c r="G2780" s="1983">
        <v>0.27802568457052501</v>
      </c>
    </row>
    <row r="2781" spans="1:7" x14ac:dyDescent="0.25">
      <c r="A2781" s="6" t="s">
        <v>3077</v>
      </c>
      <c r="B2781" s="6"/>
      <c r="C2781" s="1976">
        <v>37</v>
      </c>
      <c r="D2781" s="1976">
        <v>49931.722027167998</v>
      </c>
      <c r="E2781" s="1977">
        <v>13717.3137185304</v>
      </c>
      <c r="F2781" s="1978">
        <v>0.73127192004130004</v>
      </c>
      <c r="G2781" s="1979">
        <v>0.20089606233289201</v>
      </c>
    </row>
    <row r="2782" spans="1:7" x14ac:dyDescent="0.25">
      <c r="A2782" s="11" t="s">
        <v>3062</v>
      </c>
      <c r="B2782" s="11"/>
      <c r="C2782" s="1980">
        <v>28</v>
      </c>
      <c r="D2782" s="1980">
        <v>49557.232525994201</v>
      </c>
      <c r="E2782" s="1981">
        <v>19720.661221291601</v>
      </c>
      <c r="F2782" s="1982">
        <v>0.72578735741376399</v>
      </c>
      <c r="G2782" s="1983">
        <v>0.28881771367571402</v>
      </c>
    </row>
    <row r="2783" spans="1:7" x14ac:dyDescent="0.25">
      <c r="A2783" s="6" t="s">
        <v>1174</v>
      </c>
      <c r="B2783" s="6"/>
      <c r="C2783" s="1976">
        <v>18</v>
      </c>
      <c r="D2783" s="1976">
        <v>49410.3400365013</v>
      </c>
      <c r="E2783" s="1977">
        <v>12485.901427658</v>
      </c>
      <c r="F2783" s="1978">
        <v>0.72363605262254005</v>
      </c>
      <c r="G2783" s="1979">
        <v>0.18286149044653199</v>
      </c>
    </row>
    <row r="2784" spans="1:7" x14ac:dyDescent="0.25">
      <c r="A2784" s="11" t="s">
        <v>3087</v>
      </c>
      <c r="B2784" s="11"/>
      <c r="C2784" s="1980">
        <v>50</v>
      </c>
      <c r="D2784" s="1980">
        <v>46193.484317260103</v>
      </c>
      <c r="E2784" s="1981">
        <v>15540.5222436931</v>
      </c>
      <c r="F2784" s="1982">
        <v>0.67652379286459796</v>
      </c>
      <c r="G2784" s="1983">
        <v>0.22759774905032501</v>
      </c>
    </row>
    <row r="2785" spans="1:7" x14ac:dyDescent="0.25">
      <c r="A2785" s="6" t="s">
        <v>3105</v>
      </c>
      <c r="B2785" s="6"/>
      <c r="C2785" s="1976">
        <v>105</v>
      </c>
      <c r="D2785" s="1976">
        <v>42241.269226983</v>
      </c>
      <c r="E2785" s="1977">
        <v>12168.964552182601</v>
      </c>
      <c r="F2785" s="1978">
        <v>0.61864187331232201</v>
      </c>
      <c r="G2785" s="1979">
        <v>0.17821981120833899</v>
      </c>
    </row>
    <row r="2786" spans="1:7" x14ac:dyDescent="0.25">
      <c r="A2786" s="11" t="s">
        <v>3058</v>
      </c>
      <c r="B2786" s="11"/>
      <c r="C2786" s="1980">
        <v>35</v>
      </c>
      <c r="D2786" s="1980">
        <v>40688.503145479197</v>
      </c>
      <c r="E2786" s="1981">
        <v>11371.457855378099</v>
      </c>
      <c r="F2786" s="1982">
        <v>0.59590093453239201</v>
      </c>
      <c r="G2786" s="1983">
        <v>0.16653997663141901</v>
      </c>
    </row>
    <row r="2787" spans="1:7" x14ac:dyDescent="0.25">
      <c r="A2787" s="6" t="s">
        <v>3220</v>
      </c>
      <c r="B2787" s="6"/>
      <c r="C2787" s="1976">
        <v>84</v>
      </c>
      <c r="D2787" s="1976">
        <v>38291.5907736144</v>
      </c>
      <c r="E2787" s="1977">
        <v>16116.312714650599</v>
      </c>
      <c r="F2787" s="1978">
        <v>0.56079710391764503</v>
      </c>
      <c r="G2787" s="1979">
        <v>0.236030452473</v>
      </c>
    </row>
    <row r="2788" spans="1:7" x14ac:dyDescent="0.25">
      <c r="A2788" s="11" t="s">
        <v>1121</v>
      </c>
      <c r="B2788" s="11"/>
      <c r="C2788" s="1980">
        <v>45</v>
      </c>
      <c r="D2788" s="1980">
        <v>36912.275716221899</v>
      </c>
      <c r="E2788" s="1981">
        <v>11810.2292309312</v>
      </c>
      <c r="F2788" s="1982">
        <v>0.54059643129088397</v>
      </c>
      <c r="G2788" s="1983">
        <v>0.17296597544005801</v>
      </c>
    </row>
    <row r="2789" spans="1:7" x14ac:dyDescent="0.25">
      <c r="A2789" s="6" t="s">
        <v>3089</v>
      </c>
      <c r="B2789" s="6"/>
      <c r="C2789" s="1976">
        <v>41</v>
      </c>
      <c r="D2789" s="1976">
        <v>36058.177149764597</v>
      </c>
      <c r="E2789" s="1977">
        <v>12363.823677566999</v>
      </c>
      <c r="F2789" s="1978">
        <v>0.52808778401735501</v>
      </c>
      <c r="G2789" s="1979">
        <v>0.181073608373193</v>
      </c>
    </row>
    <row r="2790" spans="1:7" x14ac:dyDescent="0.25">
      <c r="A2790" s="11" t="s">
        <v>3222</v>
      </c>
      <c r="B2790" s="11"/>
      <c r="C2790" s="1980">
        <v>98</v>
      </c>
      <c r="D2790" s="1980">
        <v>30225.412321183499</v>
      </c>
      <c r="E2790" s="1981">
        <v>7775.86614153351</v>
      </c>
      <c r="F2790" s="1982">
        <v>0.442664390587721</v>
      </c>
      <c r="G2790" s="1983">
        <v>0.11388096249132799</v>
      </c>
    </row>
    <row r="2791" spans="1:7" x14ac:dyDescent="0.25">
      <c r="A2791" s="6" t="s">
        <v>6305</v>
      </c>
      <c r="B2791" s="6"/>
      <c r="C2791" s="1976">
        <v>77</v>
      </c>
      <c r="D2791" s="1976">
        <v>27075.4539228662</v>
      </c>
      <c r="E2791" s="1977">
        <v>10941.630530612199</v>
      </c>
      <c r="F2791" s="1978">
        <v>0.39653187137009099</v>
      </c>
      <c r="G2791" s="1979">
        <v>0.16024496736062399</v>
      </c>
    </row>
    <row r="2792" spans="1:7" x14ac:dyDescent="0.25">
      <c r="A2792" s="11" t="s">
        <v>1189</v>
      </c>
      <c r="B2792" s="11"/>
      <c r="C2792" s="1980">
        <v>61</v>
      </c>
      <c r="D2792" s="1980">
        <v>25732.386442173702</v>
      </c>
      <c r="E2792" s="1981">
        <v>7327.6329694186797</v>
      </c>
      <c r="F2792" s="1982">
        <v>0.37686206036664399</v>
      </c>
      <c r="G2792" s="1983">
        <v>0.107316391531403</v>
      </c>
    </row>
    <row r="2793" spans="1:7" x14ac:dyDescent="0.25">
      <c r="A2793" s="6" t="s">
        <v>6306</v>
      </c>
      <c r="B2793" s="6"/>
      <c r="C2793" s="1976">
        <v>71</v>
      </c>
      <c r="D2793" s="1976">
        <v>22509.640512275801</v>
      </c>
      <c r="E2793" s="1977">
        <v>5998.6774667475802</v>
      </c>
      <c r="F2793" s="1978">
        <v>0.32966353589597902</v>
      </c>
      <c r="G2793" s="1979">
        <v>8.78532566217161E-2</v>
      </c>
    </row>
    <row r="2794" spans="1:7" x14ac:dyDescent="0.25">
      <c r="A2794" s="11" t="s">
        <v>1119</v>
      </c>
      <c r="B2794" s="11"/>
      <c r="C2794" s="1980">
        <v>50</v>
      </c>
      <c r="D2794" s="1980">
        <v>17912.072670762202</v>
      </c>
      <c r="E2794" s="1981">
        <v>4981.3321078863701</v>
      </c>
      <c r="F2794" s="1982">
        <v>0.262330142884729</v>
      </c>
      <c r="G2794" s="1983">
        <v>7.2953788633915495E-2</v>
      </c>
    </row>
    <row r="2795" spans="1:7" x14ac:dyDescent="0.25">
      <c r="A2795" s="6" t="s">
        <v>1117</v>
      </c>
      <c r="B2795" s="6"/>
      <c r="C2795" s="1976">
        <v>44</v>
      </c>
      <c r="D2795" s="1976">
        <v>14299.099566606001</v>
      </c>
      <c r="E2795" s="1977">
        <v>4993.5646341474703</v>
      </c>
      <c r="F2795" s="1978">
        <v>0.20941657067714001</v>
      </c>
      <c r="G2795" s="1979">
        <v>7.3132939334166605E-2</v>
      </c>
    </row>
    <row r="2796" spans="1:7" x14ac:dyDescent="0.25">
      <c r="A2796" s="11" t="s">
        <v>1127</v>
      </c>
      <c r="B2796" s="11"/>
      <c r="C2796" s="1980">
        <v>7</v>
      </c>
      <c r="D2796" s="1980">
        <v>13640.3925761012</v>
      </c>
      <c r="E2796" s="1981">
        <v>9507.0579224307294</v>
      </c>
      <c r="F2796" s="1982">
        <v>0.19976951854004299</v>
      </c>
      <c r="G2796" s="1983">
        <v>0.13923502372093299</v>
      </c>
    </row>
    <row r="2797" spans="1:7" x14ac:dyDescent="0.25">
      <c r="A2797" s="6" t="s">
        <v>3229</v>
      </c>
      <c r="B2797" s="6"/>
      <c r="C2797" s="1976">
        <v>28</v>
      </c>
      <c r="D2797" s="1976">
        <v>12802.862731544699</v>
      </c>
      <c r="E2797" s="1977">
        <v>4167.69734310076</v>
      </c>
      <c r="F2797" s="1978">
        <v>0.1875035274495</v>
      </c>
      <c r="G2797" s="1979">
        <v>6.1037751443502097E-2</v>
      </c>
    </row>
    <row r="2798" spans="1:7" x14ac:dyDescent="0.25">
      <c r="A2798" s="11" t="s">
        <v>3231</v>
      </c>
      <c r="B2798" s="11"/>
      <c r="C2798" s="1980">
        <v>26</v>
      </c>
      <c r="D2798" s="1980">
        <v>12300.531676519</v>
      </c>
      <c r="E2798" s="1981">
        <v>7057.6898732259097</v>
      </c>
      <c r="F2798" s="1982">
        <v>0.18014666932021001</v>
      </c>
      <c r="G2798" s="1983">
        <v>0.103362956756064</v>
      </c>
    </row>
    <row r="2799" spans="1:7" x14ac:dyDescent="0.25">
      <c r="A2799" s="6" t="s">
        <v>3235</v>
      </c>
      <c r="B2799" s="6"/>
      <c r="C2799" s="1976">
        <v>16</v>
      </c>
      <c r="D2799" s="1976">
        <v>11093.9938168397</v>
      </c>
      <c r="E2799" s="1977">
        <v>6725.6404768685197</v>
      </c>
      <c r="F2799" s="1978">
        <v>0.16247639436413799</v>
      </c>
      <c r="G2799" s="1979">
        <v>9.8499948036061699E-2</v>
      </c>
    </row>
    <row r="2800" spans="1:7" x14ac:dyDescent="0.25">
      <c r="A2800" s="11" t="s">
        <v>1123</v>
      </c>
      <c r="B2800" s="11"/>
      <c r="C2800" s="1980">
        <v>44</v>
      </c>
      <c r="D2800" s="1980">
        <v>10332.063961216099</v>
      </c>
      <c r="E2800" s="1981">
        <v>4278.6667089882803</v>
      </c>
      <c r="F2800" s="1982">
        <v>0.151317598195332</v>
      </c>
      <c r="G2800" s="1983">
        <v>6.2662946368968103E-2</v>
      </c>
    </row>
    <row r="2801" spans="1:7" x14ac:dyDescent="0.25">
      <c r="A2801" s="6" t="s">
        <v>1005</v>
      </c>
      <c r="B2801" s="6"/>
      <c r="C2801" s="1976">
        <v>1</v>
      </c>
      <c r="D2801" s="1976">
        <v>7838.8475547762901</v>
      </c>
      <c r="E2801" s="1977">
        <v>7746.4511883171799</v>
      </c>
      <c r="F2801" s="1978">
        <v>0.114803352849984</v>
      </c>
      <c r="G2801" s="1979">
        <v>0.11345016762900099</v>
      </c>
    </row>
    <row r="2802" spans="1:7" x14ac:dyDescent="0.25">
      <c r="A2802" s="11" t="s">
        <v>3237</v>
      </c>
      <c r="B2802" s="11"/>
      <c r="C2802" s="1980">
        <v>17</v>
      </c>
      <c r="D2802" s="1980">
        <v>7496.9012245145404</v>
      </c>
      <c r="E2802" s="1981">
        <v>3739.4420796495201</v>
      </c>
      <c r="F2802" s="1982">
        <v>0.10979539920189001</v>
      </c>
      <c r="G2802" s="1983">
        <v>5.47657656986206E-2</v>
      </c>
    </row>
    <row r="2803" spans="1:7" x14ac:dyDescent="0.25">
      <c r="A2803" s="6" t="s">
        <v>3233</v>
      </c>
      <c r="B2803" s="6"/>
      <c r="C2803" s="1976">
        <v>20</v>
      </c>
      <c r="D2803" s="1976">
        <v>6694.1349594503899</v>
      </c>
      <c r="E2803" s="1977">
        <v>3835.9876964127898</v>
      </c>
      <c r="F2803" s="1978">
        <v>9.8038535946133903E-2</v>
      </c>
      <c r="G2803" s="1979">
        <v>5.6179718506089098E-2</v>
      </c>
    </row>
    <row r="2804" spans="1:7" x14ac:dyDescent="0.25">
      <c r="A2804" s="11" t="s">
        <v>1191</v>
      </c>
      <c r="B2804" s="11"/>
      <c r="C2804" s="1980">
        <v>9</v>
      </c>
      <c r="D2804" s="1980">
        <v>6034.4139598266102</v>
      </c>
      <c r="E2804" s="1981">
        <v>3692.0016350675601</v>
      </c>
      <c r="F2804" s="1982">
        <v>8.8376633201743202E-2</v>
      </c>
      <c r="G2804" s="1983">
        <v>5.4070979626988903E-2</v>
      </c>
    </row>
    <row r="2805" spans="1:7" x14ac:dyDescent="0.25">
      <c r="A2805" s="6" t="s">
        <v>1125</v>
      </c>
      <c r="B2805" s="6"/>
      <c r="C2805" s="1976">
        <v>11</v>
      </c>
      <c r="D2805" s="1976">
        <v>5370.68414899461</v>
      </c>
      <c r="E2805" s="1977">
        <v>3777.6032981375902</v>
      </c>
      <c r="F2805" s="1978">
        <v>7.8656019662885601E-2</v>
      </c>
      <c r="G2805" s="1979">
        <v>5.5324653443363403E-2</v>
      </c>
    </row>
    <row r="2806" spans="1:7" x14ac:dyDescent="0.25">
      <c r="A2806" s="11" t="s">
        <v>6459</v>
      </c>
      <c r="B2806" s="11"/>
      <c r="C2806" s="1980">
        <v>3</v>
      </c>
      <c r="D2806" s="1980">
        <v>2016.2973558783999</v>
      </c>
      <c r="E2806" s="1981">
        <v>1760.7172058538599</v>
      </c>
      <c r="F2806" s="1982">
        <v>2.95295571421537E-2</v>
      </c>
      <c r="G2806" s="1983">
        <v>2.57864739989127E-2</v>
      </c>
    </row>
    <row r="2807" spans="1:7" x14ac:dyDescent="0.25">
      <c r="A2807" s="6" t="s">
        <v>1193</v>
      </c>
      <c r="B2807" s="6"/>
      <c r="C2807" s="1976">
        <v>4</v>
      </c>
      <c r="D2807" s="1976">
        <v>1696.1908753316</v>
      </c>
      <c r="E2807" s="1977">
        <v>1590.0424298237399</v>
      </c>
      <c r="F2807" s="1978">
        <v>2.4841457650616999E-2</v>
      </c>
      <c r="G2807" s="1979">
        <v>2.3286867213826199E-2</v>
      </c>
    </row>
    <row r="2808" spans="1:7" x14ac:dyDescent="0.25">
      <c r="A2808" s="11" t="s">
        <v>3244</v>
      </c>
      <c r="B2808" s="11"/>
      <c r="C2808" s="1980">
        <v>1</v>
      </c>
      <c r="D2808" s="1980">
        <v>814.96616488283701</v>
      </c>
      <c r="E2808" s="1981">
        <v>802.08147763141403</v>
      </c>
      <c r="F2808" s="1982">
        <v>1.1935536127480301E-2</v>
      </c>
      <c r="G2808" s="1983">
        <v>1.17468342441294E-2</v>
      </c>
    </row>
    <row r="2809" spans="1:7" x14ac:dyDescent="0.25">
      <c r="A2809" s="6" t="s">
        <v>1129</v>
      </c>
      <c r="B2809" s="6"/>
      <c r="C2809" s="1976">
        <v>4</v>
      </c>
      <c r="D2809" s="1976">
        <v>174.85098513613499</v>
      </c>
      <c r="E2809" s="1977">
        <v>190.803629552107</v>
      </c>
      <c r="F2809" s="1978">
        <v>2.56076919502282E-3</v>
      </c>
      <c r="G2809" s="1979">
        <v>2.7944026536377E-3</v>
      </c>
    </row>
    <row r="2810" spans="1:7" x14ac:dyDescent="0.25">
      <c r="A2810" s="11" t="s">
        <v>1131</v>
      </c>
      <c r="B2810" s="11"/>
      <c r="C2810" s="1980">
        <v>2</v>
      </c>
      <c r="D2810" s="1980">
        <v>97.466704813287905</v>
      </c>
      <c r="E2810" s="1981">
        <v>100.406109909018</v>
      </c>
      <c r="F2810" s="1982">
        <v>1.4274425450444301E-3</v>
      </c>
      <c r="G2810" s="1983">
        <v>1.47049141900403E-3</v>
      </c>
    </row>
    <row r="2811" spans="1:7" x14ac:dyDescent="0.25">
      <c r="A2811" s="6" t="s">
        <v>6293</v>
      </c>
      <c r="B2811" s="6" t="s">
        <v>6294</v>
      </c>
      <c r="C2811" s="1976">
        <v>6081</v>
      </c>
      <c r="D2811" s="1976">
        <v>6828065</v>
      </c>
      <c r="E2811" s="1977">
        <v>2.4479032908394801E-8</v>
      </c>
      <c r="F2811" s="1978">
        <v>100</v>
      </c>
      <c r="G2811" s="1979">
        <v>1.45362315675074E-14</v>
      </c>
    </row>
    <row r="2812" spans="1:7" x14ac:dyDescent="0.25">
      <c r="A2812" s="11" t="s">
        <v>6293</v>
      </c>
      <c r="B2812" s="11" t="s">
        <v>6295</v>
      </c>
      <c r="C2812" s="1980">
        <v>6081</v>
      </c>
      <c r="D2812" s="1980">
        <v>6828065</v>
      </c>
      <c r="E2812" s="1981">
        <v>0</v>
      </c>
      <c r="F2812" s="1982">
        <v>100</v>
      </c>
      <c r="G2812" s="1983">
        <v>0</v>
      </c>
    </row>
    <row r="2813" spans="1:7" x14ac:dyDescent="0.25">
      <c r="A2813" s="3353" t="s">
        <v>587</v>
      </c>
      <c r="B2813" s="3354"/>
      <c r="C2813" s="3354"/>
      <c r="D2813" s="3354"/>
      <c r="E2813" s="3354"/>
      <c r="F2813" s="3354"/>
      <c r="G2813" s="3354"/>
    </row>
    <row r="2814" spans="1:7" x14ac:dyDescent="0.25">
      <c r="A2814" s="11" t="s">
        <v>986</v>
      </c>
      <c r="B2814" s="11"/>
      <c r="C2814" s="1988">
        <v>3154</v>
      </c>
      <c r="D2814" s="1988">
        <v>3440679.9883562401</v>
      </c>
      <c r="E2814" s="1989">
        <v>9.6709987707343903E-2</v>
      </c>
      <c r="F2814" s="1990">
        <v>50.390264128362098</v>
      </c>
      <c r="G2814" s="1991">
        <v>1.4163596827609401E-6</v>
      </c>
    </row>
    <row r="2815" spans="1:7" x14ac:dyDescent="0.25">
      <c r="A2815" s="6" t="s">
        <v>984</v>
      </c>
      <c r="B2815" s="6"/>
      <c r="C2815" s="1984">
        <v>2927</v>
      </c>
      <c r="D2815" s="1984">
        <v>3387385.0116437501</v>
      </c>
      <c r="E2815" s="1985">
        <v>9.6709944911577903E-2</v>
      </c>
      <c r="F2815" s="1986">
        <v>49.609735871637902</v>
      </c>
      <c r="G2815" s="1987">
        <v>1.4163598288365E-6</v>
      </c>
    </row>
    <row r="2816" spans="1:7" x14ac:dyDescent="0.25">
      <c r="A2816" s="11" t="s">
        <v>6293</v>
      </c>
      <c r="B2816" s="11" t="s">
        <v>6294</v>
      </c>
      <c r="C2816" s="1988">
        <v>6081</v>
      </c>
      <c r="D2816" s="1988">
        <v>6828064.9999999898</v>
      </c>
      <c r="E2816" s="1989">
        <v>5.27446757520411E-8</v>
      </c>
      <c r="F2816" s="1990">
        <v>100</v>
      </c>
      <c r="G2816" s="1991">
        <v>0</v>
      </c>
    </row>
    <row r="2817" spans="1:7" x14ac:dyDescent="0.25">
      <c r="A2817" s="6" t="s">
        <v>6293</v>
      </c>
      <c r="B2817" s="6" t="s">
        <v>6295</v>
      </c>
      <c r="C2817" s="1984">
        <v>6081</v>
      </c>
      <c r="D2817" s="1984">
        <v>6828064.9999999898</v>
      </c>
      <c r="E2817" s="1985">
        <v>0</v>
      </c>
      <c r="F2817" s="1986">
        <v>100</v>
      </c>
      <c r="G2817" s="1987">
        <v>0</v>
      </c>
    </row>
    <row r="2818" spans="1:7" x14ac:dyDescent="0.25">
      <c r="A2818" s="3353" t="s">
        <v>571</v>
      </c>
      <c r="B2818" s="3354"/>
      <c r="C2818" s="3354"/>
      <c r="D2818" s="3354"/>
      <c r="E2818" s="3354"/>
      <c r="F2818" s="3354"/>
      <c r="G2818" s="3354"/>
    </row>
    <row r="2819" spans="1:7" x14ac:dyDescent="0.25">
      <c r="A2819" s="11" t="s">
        <v>986</v>
      </c>
      <c r="B2819" s="11"/>
      <c r="C2819" s="1996">
        <v>5256</v>
      </c>
      <c r="D2819" s="1996">
        <v>4729653.8041364197</v>
      </c>
      <c r="E2819" s="1997">
        <v>1.59638243599788</v>
      </c>
      <c r="F2819" s="1998">
        <v>69.267849736878702</v>
      </c>
      <c r="G2819" s="1999">
        <v>2.3379720215032799E-5</v>
      </c>
    </row>
    <row r="2820" spans="1:7" x14ac:dyDescent="0.25">
      <c r="A2820" s="6" t="s">
        <v>984</v>
      </c>
      <c r="B2820" s="6"/>
      <c r="C2820" s="1992">
        <v>825</v>
      </c>
      <c r="D2820" s="1992">
        <v>2098411.1958635901</v>
      </c>
      <c r="E2820" s="1993">
        <v>1.5963825209147</v>
      </c>
      <c r="F2820" s="1994">
        <v>30.732150263121198</v>
      </c>
      <c r="G2820" s="1995">
        <v>2.33797202544111E-5</v>
      </c>
    </row>
    <row r="2821" spans="1:7" x14ac:dyDescent="0.25">
      <c r="A2821" s="11" t="s">
        <v>6293</v>
      </c>
      <c r="B2821" s="11" t="s">
        <v>6294</v>
      </c>
      <c r="C2821" s="1996">
        <v>6081</v>
      </c>
      <c r="D2821" s="1996">
        <v>6828065.0000000102</v>
      </c>
      <c r="E2821" s="1997">
        <v>8.4600361962824206E-8</v>
      </c>
      <c r="F2821" s="1998">
        <v>100</v>
      </c>
      <c r="G2821" s="1999">
        <v>9.5873031797334296E-14</v>
      </c>
    </row>
    <row r="2822" spans="1:7" x14ac:dyDescent="0.25">
      <c r="A2822" s="6" t="s">
        <v>6293</v>
      </c>
      <c r="B2822" s="6" t="s">
        <v>6295</v>
      </c>
      <c r="C2822" s="1992">
        <v>6081</v>
      </c>
      <c r="D2822" s="1992">
        <v>6828065.0000000102</v>
      </c>
      <c r="E2822" s="1993">
        <v>0</v>
      </c>
      <c r="F2822" s="1994">
        <v>100</v>
      </c>
      <c r="G2822" s="1995">
        <v>0</v>
      </c>
    </row>
    <row r="2823" spans="1:7" x14ac:dyDescent="0.25">
      <c r="A2823" s="3353" t="s">
        <v>578</v>
      </c>
      <c r="B2823" s="3354"/>
      <c r="C2823" s="3354"/>
      <c r="D2823" s="3354"/>
      <c r="E2823" s="3354"/>
      <c r="F2823" s="3354"/>
      <c r="G2823" s="3354"/>
    </row>
    <row r="2824" spans="1:7" x14ac:dyDescent="0.25">
      <c r="A2824" s="11" t="s">
        <v>984</v>
      </c>
      <c r="B2824" s="11"/>
      <c r="C2824" s="2004">
        <v>5250</v>
      </c>
      <c r="D2824" s="2004">
        <v>5256044.7553965701</v>
      </c>
      <c r="E2824" s="2005">
        <v>140092.343231601</v>
      </c>
      <c r="F2824" s="2006">
        <v>76.977075575533703</v>
      </c>
      <c r="G2824" s="2007">
        <v>2.0517136733703301</v>
      </c>
    </row>
    <row r="2825" spans="1:7" x14ac:dyDescent="0.25">
      <c r="A2825" s="6" t="s">
        <v>1005</v>
      </c>
      <c r="B2825" s="6"/>
      <c r="C2825" s="2000">
        <v>186</v>
      </c>
      <c r="D2825" s="2000">
        <v>398982.121234558</v>
      </c>
      <c r="E2825" s="2001">
        <v>87955.708996747693</v>
      </c>
      <c r="F2825" s="2002">
        <v>5.8432677667034101</v>
      </c>
      <c r="G2825" s="2003">
        <v>1.28814984914097</v>
      </c>
    </row>
    <row r="2826" spans="1:7" x14ac:dyDescent="0.25">
      <c r="A2826" s="11" t="s">
        <v>994</v>
      </c>
      <c r="B2826" s="11"/>
      <c r="C2826" s="2004">
        <v>221</v>
      </c>
      <c r="D2826" s="2004">
        <v>343950.69442095503</v>
      </c>
      <c r="E2826" s="2005">
        <v>59041.212325596302</v>
      </c>
      <c r="F2826" s="2006">
        <v>5.0373084383490001</v>
      </c>
      <c r="G2826" s="2007">
        <v>0.86468439192650404</v>
      </c>
    </row>
    <row r="2827" spans="1:7" x14ac:dyDescent="0.25">
      <c r="A2827" s="6" t="s">
        <v>986</v>
      </c>
      <c r="B2827" s="6"/>
      <c r="C2827" s="2000">
        <v>111</v>
      </c>
      <c r="D2827" s="2000">
        <v>300684.96929857199</v>
      </c>
      <c r="E2827" s="2001">
        <v>0.35281183724488901</v>
      </c>
      <c r="F2827" s="2002">
        <v>4.40366296012958</v>
      </c>
      <c r="G2827" s="2003">
        <v>5.1670837708720097E-6</v>
      </c>
    </row>
    <row r="2828" spans="1:7" x14ac:dyDescent="0.25">
      <c r="A2828" s="11" t="s">
        <v>988</v>
      </c>
      <c r="B2828" s="11"/>
      <c r="C2828" s="2004">
        <v>121</v>
      </c>
      <c r="D2828" s="2004">
        <v>293145.73102465598</v>
      </c>
      <c r="E2828" s="2005">
        <v>71868.610583660193</v>
      </c>
      <c r="F2828" s="2006">
        <v>4.2932475163117996</v>
      </c>
      <c r="G2828" s="2007">
        <v>1.0525472528990201</v>
      </c>
    </row>
    <row r="2829" spans="1:7" x14ac:dyDescent="0.25">
      <c r="A2829" s="6" t="s">
        <v>990</v>
      </c>
      <c r="B2829" s="6"/>
      <c r="C2829" s="2000">
        <v>165</v>
      </c>
      <c r="D2829" s="2000">
        <v>167682.24203549899</v>
      </c>
      <c r="E2829" s="2001">
        <v>32694.797743102099</v>
      </c>
      <c r="F2829" s="2002">
        <v>2.45577981515259</v>
      </c>
      <c r="G2829" s="2003">
        <v>0.478829620735919</v>
      </c>
    </row>
    <row r="2830" spans="1:7" x14ac:dyDescent="0.25">
      <c r="A2830" s="11" t="s">
        <v>992</v>
      </c>
      <c r="B2830" s="11"/>
      <c r="C2830" s="2004">
        <v>27</v>
      </c>
      <c r="D2830" s="2004">
        <v>67574.486589196502</v>
      </c>
      <c r="E2830" s="2005">
        <v>30810.6206946493</v>
      </c>
      <c r="F2830" s="2006">
        <v>0.98965792781990902</v>
      </c>
      <c r="G2830" s="2007">
        <v>0.45123502331406001</v>
      </c>
    </row>
    <row r="2831" spans="1:7" x14ac:dyDescent="0.25">
      <c r="A2831" s="6" t="s">
        <v>6293</v>
      </c>
      <c r="B2831" s="6" t="s">
        <v>6294</v>
      </c>
      <c r="C2831" s="2000">
        <v>6081</v>
      </c>
      <c r="D2831" s="2000">
        <v>6828065.0000000102</v>
      </c>
      <c r="E2831" s="2001">
        <v>4.5462062346605598E-8</v>
      </c>
      <c r="F2831" s="2002">
        <v>100</v>
      </c>
      <c r="G2831" s="2003">
        <v>9.6968759166016401E-14</v>
      </c>
    </row>
    <row r="2832" spans="1:7" x14ac:dyDescent="0.25">
      <c r="A2832" s="11" t="s">
        <v>6293</v>
      </c>
      <c r="B2832" s="11" t="s">
        <v>6295</v>
      </c>
      <c r="C2832" s="2004">
        <v>6081</v>
      </c>
      <c r="D2832" s="2004">
        <v>6828065.0000000102</v>
      </c>
      <c r="E2832" s="2005">
        <v>0</v>
      </c>
      <c r="F2832" s="2006">
        <v>100</v>
      </c>
      <c r="G2832" s="2007">
        <v>0</v>
      </c>
    </row>
    <row r="2833" spans="1:7" x14ac:dyDescent="0.25">
      <c r="A2833" s="3353" t="s">
        <v>932</v>
      </c>
      <c r="B2833" s="3354"/>
      <c r="C2833" s="3354"/>
      <c r="D2833" s="3354"/>
      <c r="E2833" s="3354"/>
      <c r="F2833" s="3354"/>
      <c r="G2833" s="3354"/>
    </row>
    <row r="2834" spans="1:7" x14ac:dyDescent="0.25">
      <c r="A2834" s="11" t="s">
        <v>984</v>
      </c>
      <c r="B2834" s="11"/>
      <c r="C2834" s="2012">
        <v>2237</v>
      </c>
      <c r="D2834" s="2012">
        <v>3046505.4934079498</v>
      </c>
      <c r="E2834" s="2013">
        <v>63711.887250641099</v>
      </c>
      <c r="F2834" s="2014">
        <v>56.749617301252798</v>
      </c>
      <c r="G2834" s="2015">
        <v>1.13834047775967</v>
      </c>
    </row>
    <row r="2835" spans="1:7" x14ac:dyDescent="0.25">
      <c r="A2835" s="6" t="s">
        <v>986</v>
      </c>
      <c r="B2835" s="6"/>
      <c r="C2835" s="2008">
        <v>3149</v>
      </c>
      <c r="D2835" s="2008">
        <v>2321822.3267352502</v>
      </c>
      <c r="E2835" s="2009">
        <v>60948.848852630297</v>
      </c>
      <c r="F2835" s="2010">
        <v>43.250382698747202</v>
      </c>
      <c r="G2835" s="2011">
        <v>1.13834047775967</v>
      </c>
    </row>
    <row r="2836" spans="1:7" x14ac:dyDescent="0.25">
      <c r="A2836" s="11" t="s">
        <v>982</v>
      </c>
      <c r="B2836" s="11"/>
      <c r="C2836" s="2012">
        <v>695</v>
      </c>
      <c r="D2836" s="2012">
        <v>1459737.17985681</v>
      </c>
      <c r="E2836" s="2013">
        <v>22440.991842941901</v>
      </c>
      <c r="F2836" s="2014">
        <v>100</v>
      </c>
      <c r="G2836" s="2015">
        <v>0</v>
      </c>
    </row>
    <row r="2837" spans="1:7" x14ac:dyDescent="0.25">
      <c r="A2837" s="6" t="s">
        <v>6293</v>
      </c>
      <c r="B2837" s="6" t="s">
        <v>6294</v>
      </c>
      <c r="C2837" s="2008">
        <v>5386</v>
      </c>
      <c r="D2837" s="2008">
        <v>5368327.8201431902</v>
      </c>
      <c r="E2837" s="2009">
        <v>22440.991842938802</v>
      </c>
      <c r="F2837" s="2010">
        <v>78.621510195687804</v>
      </c>
      <c r="G2837" s="2011">
        <v>0.32865814609177602</v>
      </c>
    </row>
    <row r="2838" spans="1:7" x14ac:dyDescent="0.25">
      <c r="A2838" s="11" t="s">
        <v>6293</v>
      </c>
      <c r="B2838" s="11" t="s">
        <v>6295</v>
      </c>
      <c r="C2838" s="2012">
        <v>6081</v>
      </c>
      <c r="D2838" s="2012">
        <v>6828065</v>
      </c>
      <c r="E2838" s="2013">
        <v>0</v>
      </c>
      <c r="F2838" s="2014">
        <v>100</v>
      </c>
      <c r="G2838" s="2015">
        <v>0</v>
      </c>
    </row>
    <row r="2839" spans="1:7" x14ac:dyDescent="0.25">
      <c r="A2839" s="3355" t="s">
        <v>1007</v>
      </c>
      <c r="B2839" s="3354"/>
      <c r="C2839" s="3354"/>
      <c r="D2839" s="3354"/>
      <c r="E2839" s="3354"/>
      <c r="F2839" s="3354"/>
      <c r="G2839" s="3354"/>
    </row>
    <row r="2840" spans="1:7" x14ac:dyDescent="0.25">
      <c r="A2840" s="3353" t="s">
        <v>273</v>
      </c>
      <c r="B2840" s="3354"/>
      <c r="C2840" s="3354"/>
      <c r="D2840" s="3354"/>
      <c r="E2840" s="3354"/>
      <c r="F2840" s="3354"/>
      <c r="G2840" s="3354"/>
    </row>
    <row r="2841" spans="1:7" x14ac:dyDescent="0.25">
      <c r="A2841" s="11" t="s">
        <v>6293</v>
      </c>
      <c r="B2841" s="11" t="s">
        <v>6294</v>
      </c>
      <c r="C2841" s="2020">
        <v>4972</v>
      </c>
      <c r="D2841" s="2020">
        <v>4580769.4655930502</v>
      </c>
      <c r="E2841" s="2021">
        <v>75300.9735043158</v>
      </c>
      <c r="F2841" s="2022">
        <v>100</v>
      </c>
      <c r="G2841" s="2023">
        <v>9.6968759166016401E-14</v>
      </c>
    </row>
    <row r="2842" spans="1:7" x14ac:dyDescent="0.25">
      <c r="A2842" s="6" t="s">
        <v>6293</v>
      </c>
      <c r="B2842" s="6" t="s">
        <v>6295</v>
      </c>
      <c r="C2842" s="2016">
        <v>4972</v>
      </c>
      <c r="D2842" s="2016">
        <v>4580769.4655930502</v>
      </c>
      <c r="E2842" s="2017">
        <v>0</v>
      </c>
      <c r="F2842" s="2018">
        <v>100</v>
      </c>
      <c r="G2842" s="2019">
        <v>0</v>
      </c>
    </row>
    <row r="2843" spans="1:7" x14ac:dyDescent="0.25">
      <c r="A2843" s="3353" t="s">
        <v>812</v>
      </c>
      <c r="B2843" s="3354"/>
      <c r="C2843" s="3354"/>
      <c r="D2843" s="3354"/>
      <c r="E2843" s="3354"/>
      <c r="F2843" s="3354"/>
      <c r="G2843" s="3354"/>
    </row>
    <row r="2844" spans="1:7" x14ac:dyDescent="0.25">
      <c r="A2844" s="11" t="s">
        <v>984</v>
      </c>
      <c r="B2844" s="11" t="s">
        <v>6123</v>
      </c>
      <c r="C2844" s="2028">
        <v>2895</v>
      </c>
      <c r="D2844" s="2028">
        <v>2293180.0146558001</v>
      </c>
      <c r="E2844" s="2029">
        <v>257.53635731932201</v>
      </c>
      <c r="F2844" s="2030">
        <v>50.061022102951803</v>
      </c>
      <c r="G2844" s="2031">
        <v>0.82708338057184905</v>
      </c>
    </row>
    <row r="2845" spans="1:7" x14ac:dyDescent="0.25">
      <c r="A2845" s="6" t="s">
        <v>986</v>
      </c>
      <c r="B2845" s="6" t="s">
        <v>6124</v>
      </c>
      <c r="C2845" s="2024">
        <v>1901</v>
      </c>
      <c r="D2845" s="2024">
        <v>1383391.3958811399</v>
      </c>
      <c r="E2845" s="2025">
        <v>2.1182308631193099</v>
      </c>
      <c r="F2845" s="2026">
        <v>30.1999785466619</v>
      </c>
      <c r="G2845" s="2027">
        <v>0.497664756288828</v>
      </c>
    </row>
    <row r="2846" spans="1:7" x14ac:dyDescent="0.25">
      <c r="A2846" s="11" t="s">
        <v>988</v>
      </c>
      <c r="B2846" s="11" t="s">
        <v>6125</v>
      </c>
      <c r="C2846" s="2028">
        <v>820</v>
      </c>
      <c r="D2846" s="2028">
        <v>565938.89607282297</v>
      </c>
      <c r="E2846" s="2029">
        <v>42036.253797931699</v>
      </c>
      <c r="F2846" s="2030">
        <v>12.3546688023418</v>
      </c>
      <c r="G2846" s="2031">
        <v>0.74723549359854402</v>
      </c>
    </row>
    <row r="2847" spans="1:7" x14ac:dyDescent="0.25">
      <c r="A2847" s="6" t="s">
        <v>990</v>
      </c>
      <c r="B2847" s="6" t="s">
        <v>6126</v>
      </c>
      <c r="C2847" s="2024">
        <v>330</v>
      </c>
      <c r="D2847" s="2024">
        <v>207988.35809912099</v>
      </c>
      <c r="E2847" s="2025">
        <v>26876.877865976199</v>
      </c>
      <c r="F2847" s="2026">
        <v>4.54046770223556</v>
      </c>
      <c r="G2847" s="2027">
        <v>0.531675128898487</v>
      </c>
    </row>
    <row r="2848" spans="1:7" x14ac:dyDescent="0.25">
      <c r="A2848" s="11" t="s">
        <v>992</v>
      </c>
      <c r="B2848" s="11" t="s">
        <v>6127</v>
      </c>
      <c r="C2848" s="2028">
        <v>136</v>
      </c>
      <c r="D2848" s="2028">
        <v>88256.3205431557</v>
      </c>
      <c r="E2848" s="2029">
        <v>17103.850748987701</v>
      </c>
      <c r="F2848" s="2030">
        <v>1.9266702069611701</v>
      </c>
      <c r="G2848" s="2031">
        <v>0.35129687896621098</v>
      </c>
    </row>
    <row r="2849" spans="1:7" x14ac:dyDescent="0.25">
      <c r="A2849" s="6" t="s">
        <v>994</v>
      </c>
      <c r="B2849" s="6" t="s">
        <v>6128</v>
      </c>
      <c r="C2849" s="2024">
        <v>56</v>
      </c>
      <c r="D2849" s="2024">
        <v>28110.6178443141</v>
      </c>
      <c r="E2849" s="2025">
        <v>10081.672521053</v>
      </c>
      <c r="F2849" s="2026">
        <v>0.61366584927396495</v>
      </c>
      <c r="G2849" s="2027">
        <v>0.21678741906701399</v>
      </c>
    </row>
    <row r="2850" spans="1:7" x14ac:dyDescent="0.25">
      <c r="A2850" s="11" t="s">
        <v>1003</v>
      </c>
      <c r="B2850" s="11" t="s">
        <v>6129</v>
      </c>
      <c r="C2850" s="2028">
        <v>22</v>
      </c>
      <c r="D2850" s="2028">
        <v>6739.2679376225997</v>
      </c>
      <c r="E2850" s="2029">
        <v>2917.9292925177901</v>
      </c>
      <c r="F2850" s="2030">
        <v>0.147120871029254</v>
      </c>
      <c r="G2850" s="2031">
        <v>6.3632066377118005E-2</v>
      </c>
    </row>
    <row r="2851" spans="1:7" x14ac:dyDescent="0.25">
      <c r="A2851" s="6" t="s">
        <v>1013</v>
      </c>
      <c r="B2851" s="6" t="s">
        <v>6130</v>
      </c>
      <c r="C2851" s="2024">
        <v>13</v>
      </c>
      <c r="D2851" s="2024">
        <v>5721.9672423946804</v>
      </c>
      <c r="E2851" s="2025">
        <v>2713.7973562347001</v>
      </c>
      <c r="F2851" s="2026">
        <v>0.124912796537205</v>
      </c>
      <c r="G2851" s="2027">
        <v>5.9289312530183602E-2</v>
      </c>
    </row>
    <row r="2852" spans="1:7" x14ac:dyDescent="0.25">
      <c r="A2852" s="11" t="s">
        <v>1015</v>
      </c>
      <c r="B2852" s="11" t="s">
        <v>6131</v>
      </c>
      <c r="C2852" s="2028">
        <v>6</v>
      </c>
      <c r="D2852" s="2028">
        <v>1027.25222414001</v>
      </c>
      <c r="E2852" s="2029">
        <v>745.867578978913</v>
      </c>
      <c r="F2852" s="2030">
        <v>2.24253202841984E-2</v>
      </c>
      <c r="G2852" s="2031">
        <v>1.6312503873837401E-2</v>
      </c>
    </row>
    <row r="2853" spans="1:7" x14ac:dyDescent="0.25">
      <c r="A2853" s="6" t="s">
        <v>1017</v>
      </c>
      <c r="B2853" s="6" t="s">
        <v>6132</v>
      </c>
      <c r="C2853" s="2024">
        <v>3</v>
      </c>
      <c r="D2853" s="2024">
        <v>236.20179111550601</v>
      </c>
      <c r="E2853" s="2025">
        <v>170.39019045204799</v>
      </c>
      <c r="F2853" s="2026">
        <v>5.15637804717435E-3</v>
      </c>
      <c r="G2853" s="2027">
        <v>3.7091956204856899E-3</v>
      </c>
    </row>
    <row r="2854" spans="1:7" x14ac:dyDescent="0.25">
      <c r="A2854" s="11" t="s">
        <v>1019</v>
      </c>
      <c r="B2854" s="11" t="s">
        <v>6133</v>
      </c>
      <c r="C2854" s="2028">
        <v>2</v>
      </c>
      <c r="D2854" s="2028">
        <v>89.586650710688005</v>
      </c>
      <c r="E2854" s="2029">
        <v>94.687918335078294</v>
      </c>
      <c r="F2854" s="2030">
        <v>1.9557118380129999E-3</v>
      </c>
      <c r="G2854" s="2031">
        <v>2.0657835479101099E-3</v>
      </c>
    </row>
    <row r="2855" spans="1:7" x14ac:dyDescent="0.25">
      <c r="A2855" s="6" t="s">
        <v>1021</v>
      </c>
      <c r="B2855" s="6" t="s">
        <v>6134</v>
      </c>
      <c r="C2855" s="2024">
        <v>2</v>
      </c>
      <c r="D2855" s="2024">
        <v>89.586650710688005</v>
      </c>
      <c r="E2855" s="2025">
        <v>94.687918335078294</v>
      </c>
      <c r="F2855" s="2026">
        <v>1.9557118380129999E-3</v>
      </c>
      <c r="G2855" s="2027">
        <v>2.0657835479101099E-3</v>
      </c>
    </row>
    <row r="2856" spans="1:7" x14ac:dyDescent="0.25">
      <c r="A2856" s="11" t="s">
        <v>6293</v>
      </c>
      <c r="B2856" s="11" t="s">
        <v>6294</v>
      </c>
      <c r="C2856" s="2028">
        <v>6186</v>
      </c>
      <c r="D2856" s="2028">
        <v>4580769.4655930502</v>
      </c>
      <c r="E2856" s="2029">
        <v>75300.973504319598</v>
      </c>
      <c r="F2856" s="2030">
        <v>100</v>
      </c>
      <c r="G2856" s="2031">
        <v>1.45362315675074E-14</v>
      </c>
    </row>
    <row r="2857" spans="1:7" x14ac:dyDescent="0.25">
      <c r="A2857" s="6" t="s">
        <v>6293</v>
      </c>
      <c r="B2857" s="6" t="s">
        <v>6295</v>
      </c>
      <c r="C2857" s="2024">
        <v>6186</v>
      </c>
      <c r="D2857" s="2024">
        <v>4580769.4655930502</v>
      </c>
      <c r="E2857" s="2025">
        <v>0</v>
      </c>
      <c r="F2857" s="2026">
        <v>100</v>
      </c>
      <c r="G2857" s="2027">
        <v>0</v>
      </c>
    </row>
    <row r="2858" spans="1:7" x14ac:dyDescent="0.25">
      <c r="A2858" s="3353" t="s">
        <v>832</v>
      </c>
      <c r="B2858" s="3354"/>
      <c r="C2858" s="3354"/>
      <c r="D2858" s="3354"/>
      <c r="E2858" s="3354"/>
      <c r="F2858" s="3354"/>
      <c r="G2858" s="3354"/>
    </row>
    <row r="2859" spans="1:7" x14ac:dyDescent="0.25">
      <c r="A2859" s="11" t="s">
        <v>6517</v>
      </c>
      <c r="B2859" s="11"/>
      <c r="C2859" s="2036">
        <v>359</v>
      </c>
      <c r="D2859" s="2036">
        <v>329400.28981743997</v>
      </c>
      <c r="E2859" s="2037">
        <v>30210.1824989417</v>
      </c>
      <c r="F2859" s="2038">
        <v>7.2126011451652703</v>
      </c>
      <c r="G2859" s="2039">
        <v>0.61093968110341301</v>
      </c>
    </row>
    <row r="2860" spans="1:7" x14ac:dyDescent="0.25">
      <c r="A2860" s="6" t="s">
        <v>6477</v>
      </c>
      <c r="B2860" s="6"/>
      <c r="C2860" s="2032">
        <v>336</v>
      </c>
      <c r="D2860" s="2032">
        <v>303000.56727728399</v>
      </c>
      <c r="E2860" s="2033">
        <v>26761.584865945399</v>
      </c>
      <c r="F2860" s="2034">
        <v>6.6345486208924296</v>
      </c>
      <c r="G2860" s="2035">
        <v>0.60384112980828297</v>
      </c>
    </row>
    <row r="2861" spans="1:7" x14ac:dyDescent="0.25">
      <c r="A2861" s="11" t="s">
        <v>6497</v>
      </c>
      <c r="B2861" s="11"/>
      <c r="C2861" s="2036">
        <v>372</v>
      </c>
      <c r="D2861" s="2036">
        <v>299198.06622036599</v>
      </c>
      <c r="E2861" s="2037">
        <v>24243.468661432798</v>
      </c>
      <c r="F2861" s="2038">
        <v>6.5512884528676203</v>
      </c>
      <c r="G2861" s="2039">
        <v>0.51470974316442097</v>
      </c>
    </row>
    <row r="2862" spans="1:7" x14ac:dyDescent="0.25">
      <c r="A2862" s="6" t="s">
        <v>6536</v>
      </c>
      <c r="B2862" s="6"/>
      <c r="C2862" s="2032">
        <v>353</v>
      </c>
      <c r="D2862" s="2032">
        <v>292601.74377386598</v>
      </c>
      <c r="E2862" s="2033">
        <v>28518.937203859699</v>
      </c>
      <c r="F2862" s="2034">
        <v>6.4068543272696301</v>
      </c>
      <c r="G2862" s="2035">
        <v>0.61278938083102397</v>
      </c>
    </row>
    <row r="2863" spans="1:7" x14ac:dyDescent="0.25">
      <c r="A2863" s="11" t="s">
        <v>6484</v>
      </c>
      <c r="B2863" s="11"/>
      <c r="C2863" s="2036">
        <v>368</v>
      </c>
      <c r="D2863" s="2036">
        <v>279445.58207501698</v>
      </c>
      <c r="E2863" s="2037">
        <v>25480.227931282501</v>
      </c>
      <c r="F2863" s="2038">
        <v>6.1187849178963596</v>
      </c>
      <c r="G2863" s="2039">
        <v>0.56119776086255801</v>
      </c>
    </row>
    <row r="2864" spans="1:7" x14ac:dyDescent="0.25">
      <c r="A2864" s="6" t="s">
        <v>6493</v>
      </c>
      <c r="B2864" s="6"/>
      <c r="C2864" s="2032">
        <v>334</v>
      </c>
      <c r="D2864" s="2032">
        <v>250460.15851151399</v>
      </c>
      <c r="E2864" s="2033">
        <v>25179.353165401499</v>
      </c>
      <c r="F2864" s="2034">
        <v>5.4841154726961499</v>
      </c>
      <c r="G2864" s="2035">
        <v>0.53330159821895495</v>
      </c>
    </row>
    <row r="2865" spans="1:7" x14ac:dyDescent="0.25">
      <c r="A2865" s="11" t="s">
        <v>6483</v>
      </c>
      <c r="B2865" s="11"/>
      <c r="C2865" s="2036">
        <v>285</v>
      </c>
      <c r="D2865" s="2036">
        <v>238099.926411436</v>
      </c>
      <c r="E2865" s="2037">
        <v>33792.952855462201</v>
      </c>
      <c r="F2865" s="2038">
        <v>5.2134738644299796</v>
      </c>
      <c r="G2865" s="2039">
        <v>0.72817694583165304</v>
      </c>
    </row>
    <row r="2866" spans="1:7" x14ac:dyDescent="0.25">
      <c r="A2866" s="6" t="s">
        <v>6501</v>
      </c>
      <c r="B2866" s="6"/>
      <c r="C2866" s="2032">
        <v>305</v>
      </c>
      <c r="D2866" s="2032">
        <v>214861.758261282</v>
      </c>
      <c r="E2866" s="2033">
        <v>32920.384240538799</v>
      </c>
      <c r="F2866" s="2034">
        <v>4.7046472380046298</v>
      </c>
      <c r="G2866" s="2035">
        <v>0.74945663489871805</v>
      </c>
    </row>
    <row r="2867" spans="1:7" x14ac:dyDescent="0.25">
      <c r="A2867" s="11" t="s">
        <v>6478</v>
      </c>
      <c r="B2867" s="11"/>
      <c r="C2867" s="2036">
        <v>310</v>
      </c>
      <c r="D2867" s="2036">
        <v>214038.07427514801</v>
      </c>
      <c r="E2867" s="2037">
        <v>29680.753632853201</v>
      </c>
      <c r="F2867" s="2038">
        <v>4.68661172241677</v>
      </c>
      <c r="G2867" s="2039">
        <v>0.65366787005481297</v>
      </c>
    </row>
    <row r="2868" spans="1:7" x14ac:dyDescent="0.25">
      <c r="A2868" s="6" t="s">
        <v>3283</v>
      </c>
      <c r="B2868" s="6"/>
      <c r="C2868" s="2032">
        <v>242</v>
      </c>
      <c r="D2868" s="2032">
        <v>211855.43187600499</v>
      </c>
      <c r="E2868" s="2033">
        <v>28466.733619875398</v>
      </c>
      <c r="F2868" s="2034">
        <v>4.6388202372414904</v>
      </c>
      <c r="G2868" s="2035">
        <v>0.62737066870801395</v>
      </c>
    </row>
    <row r="2869" spans="1:7" x14ac:dyDescent="0.25">
      <c r="A2869" s="11" t="s">
        <v>6476</v>
      </c>
      <c r="B2869" s="11"/>
      <c r="C2869" s="2036">
        <v>259</v>
      </c>
      <c r="D2869" s="2036">
        <v>182731.991334697</v>
      </c>
      <c r="E2869" s="2037">
        <v>28321.9654746337</v>
      </c>
      <c r="F2869" s="2038">
        <v>4.0011287503402402</v>
      </c>
      <c r="G2869" s="2039">
        <v>0.64167796180799797</v>
      </c>
    </row>
    <row r="2870" spans="1:7" x14ac:dyDescent="0.25">
      <c r="A2870" s="6" t="s">
        <v>6480</v>
      </c>
      <c r="B2870" s="6"/>
      <c r="C2870" s="2032">
        <v>230</v>
      </c>
      <c r="D2870" s="2032">
        <v>182157.08342093599</v>
      </c>
      <c r="E2870" s="2033">
        <v>25000.741195494302</v>
      </c>
      <c r="F2870" s="2034">
        <v>3.9885404752070901</v>
      </c>
      <c r="G2870" s="2035">
        <v>0.52812832874034199</v>
      </c>
    </row>
    <row r="2871" spans="1:7" x14ac:dyDescent="0.25">
      <c r="A2871" s="11" t="s">
        <v>6499</v>
      </c>
      <c r="B2871" s="11"/>
      <c r="C2871" s="2036">
        <v>261</v>
      </c>
      <c r="D2871" s="2036">
        <v>178235.33042460601</v>
      </c>
      <c r="E2871" s="2037">
        <v>23690.5834425176</v>
      </c>
      <c r="F2871" s="2038">
        <v>3.9026691477469502</v>
      </c>
      <c r="G2871" s="2039">
        <v>0.52414939824534601</v>
      </c>
    </row>
    <row r="2872" spans="1:7" x14ac:dyDescent="0.25">
      <c r="A2872" s="6" t="s">
        <v>6505</v>
      </c>
      <c r="B2872" s="6"/>
      <c r="C2872" s="2032">
        <v>274</v>
      </c>
      <c r="D2872" s="2032">
        <v>168918.500712459</v>
      </c>
      <c r="E2872" s="2033">
        <v>18690.644959903999</v>
      </c>
      <c r="F2872" s="2034">
        <v>3.69866636229589</v>
      </c>
      <c r="G2872" s="2035">
        <v>0.40968121029448601</v>
      </c>
    </row>
    <row r="2873" spans="1:7" x14ac:dyDescent="0.25">
      <c r="A2873" s="11" t="s">
        <v>6486</v>
      </c>
      <c r="B2873" s="11"/>
      <c r="C2873" s="2036">
        <v>214</v>
      </c>
      <c r="D2873" s="2036">
        <v>163952.27763305701</v>
      </c>
      <c r="E2873" s="2037">
        <v>27497.032864720601</v>
      </c>
      <c r="F2873" s="2038">
        <v>3.5899251517478001</v>
      </c>
      <c r="G2873" s="2039">
        <v>0.59641341117136604</v>
      </c>
    </row>
    <row r="2874" spans="1:7" x14ac:dyDescent="0.25">
      <c r="A2874" s="6" t="s">
        <v>6511</v>
      </c>
      <c r="B2874" s="6"/>
      <c r="C2874" s="2032">
        <v>186</v>
      </c>
      <c r="D2874" s="2032">
        <v>154420.265413249</v>
      </c>
      <c r="E2874" s="2033">
        <v>35486.736153529702</v>
      </c>
      <c r="F2874" s="2034">
        <v>3.3812106958788499</v>
      </c>
      <c r="G2874" s="2035">
        <v>0.77781856211073797</v>
      </c>
    </row>
    <row r="2875" spans="1:7" x14ac:dyDescent="0.25">
      <c r="A2875" s="11" t="s">
        <v>6481</v>
      </c>
      <c r="B2875" s="11"/>
      <c r="C2875" s="2036">
        <v>194</v>
      </c>
      <c r="D2875" s="2036">
        <v>139375.55735998799</v>
      </c>
      <c r="E2875" s="2037">
        <v>22202.3713017355</v>
      </c>
      <c r="F2875" s="2038">
        <v>3.0517893751090202</v>
      </c>
      <c r="G2875" s="2039">
        <v>0.48790866349273598</v>
      </c>
    </row>
    <row r="2876" spans="1:7" x14ac:dyDescent="0.25">
      <c r="A2876" s="6" t="s">
        <v>6489</v>
      </c>
      <c r="B2876" s="6"/>
      <c r="C2876" s="2032">
        <v>149</v>
      </c>
      <c r="D2876" s="2032">
        <v>92026.798645190793</v>
      </c>
      <c r="E2876" s="2033">
        <v>14988.0929651851</v>
      </c>
      <c r="F2876" s="2034">
        <v>2.0150334222901298</v>
      </c>
      <c r="G2876" s="2035">
        <v>0.32058243909582701</v>
      </c>
    </row>
    <row r="2877" spans="1:7" x14ac:dyDescent="0.25">
      <c r="A2877" s="11" t="s">
        <v>6512</v>
      </c>
      <c r="B2877" s="11"/>
      <c r="C2877" s="2036">
        <v>112</v>
      </c>
      <c r="D2877" s="2036">
        <v>85279.854574410798</v>
      </c>
      <c r="E2877" s="2037">
        <v>18245.302026633199</v>
      </c>
      <c r="F2877" s="2038">
        <v>1.8673012616467799</v>
      </c>
      <c r="G2877" s="2039">
        <v>0.39090121318388199</v>
      </c>
    </row>
    <row r="2878" spans="1:7" x14ac:dyDescent="0.25">
      <c r="A2878" s="6" t="s">
        <v>6479</v>
      </c>
      <c r="B2878" s="6"/>
      <c r="C2878" s="2032">
        <v>127</v>
      </c>
      <c r="D2878" s="2032">
        <v>79529.566725042198</v>
      </c>
      <c r="E2878" s="2033">
        <v>20559.657876697001</v>
      </c>
      <c r="F2878" s="2034">
        <v>1.74139204417047</v>
      </c>
      <c r="G2878" s="2035">
        <v>0.45482959097536402</v>
      </c>
    </row>
    <row r="2879" spans="1:7" x14ac:dyDescent="0.25">
      <c r="A2879" s="11" t="s">
        <v>6515</v>
      </c>
      <c r="B2879" s="11"/>
      <c r="C2879" s="2036">
        <v>86</v>
      </c>
      <c r="D2879" s="2036">
        <v>61209.6942825226</v>
      </c>
      <c r="E2879" s="2037">
        <v>15746.0834781255</v>
      </c>
      <c r="F2879" s="2038">
        <v>1.34025720293694</v>
      </c>
      <c r="G2879" s="2039">
        <v>0.348742003629405</v>
      </c>
    </row>
    <row r="2880" spans="1:7" x14ac:dyDescent="0.25">
      <c r="A2880" s="6" t="s">
        <v>6496</v>
      </c>
      <c r="B2880" s="6"/>
      <c r="C2880" s="2032">
        <v>64</v>
      </c>
      <c r="D2880" s="2032">
        <v>49454.351036569802</v>
      </c>
      <c r="E2880" s="2033">
        <v>13864.6015574994</v>
      </c>
      <c r="F2880" s="2034">
        <v>1.0828603372433401</v>
      </c>
      <c r="G2880" s="2035">
        <v>0.29062525399679301</v>
      </c>
    </row>
    <row r="2881" spans="1:7" x14ac:dyDescent="0.25">
      <c r="A2881" s="11" t="s">
        <v>6527</v>
      </c>
      <c r="B2881" s="11"/>
      <c r="C2881" s="2036">
        <v>67</v>
      </c>
      <c r="D2881" s="2036">
        <v>47656.364183185098</v>
      </c>
      <c r="E2881" s="2037">
        <v>8964.4222187096893</v>
      </c>
      <c r="F2881" s="2038">
        <v>1.04349133108703</v>
      </c>
      <c r="G2881" s="2039">
        <v>0.20365229175432301</v>
      </c>
    </row>
    <row r="2882" spans="1:7" x14ac:dyDescent="0.25">
      <c r="A2882" s="6" t="s">
        <v>6482</v>
      </c>
      <c r="B2882" s="6"/>
      <c r="C2882" s="2032">
        <v>71</v>
      </c>
      <c r="D2882" s="2032">
        <v>47560.253891949498</v>
      </c>
      <c r="E2882" s="2033">
        <v>13331.6457290818</v>
      </c>
      <c r="F2882" s="2034">
        <v>1.0413868848614001</v>
      </c>
      <c r="G2882" s="2035">
        <v>0.29406384610354402</v>
      </c>
    </row>
    <row r="2883" spans="1:7" x14ac:dyDescent="0.25">
      <c r="A2883" s="11" t="s">
        <v>6514</v>
      </c>
      <c r="B2883" s="11"/>
      <c r="C2883" s="2036">
        <v>61</v>
      </c>
      <c r="D2883" s="2036">
        <v>27002.620138183102</v>
      </c>
      <c r="E2883" s="2037">
        <v>5987.8440243177001</v>
      </c>
      <c r="F2883" s="2038">
        <v>0.59125366598511797</v>
      </c>
      <c r="G2883" s="2039">
        <v>0.13140130011508899</v>
      </c>
    </row>
    <row r="2884" spans="1:7" x14ac:dyDescent="0.25">
      <c r="A2884" s="6" t="s">
        <v>6490</v>
      </c>
      <c r="B2884" s="6"/>
      <c r="C2884" s="2032">
        <v>36</v>
      </c>
      <c r="D2884" s="2032">
        <v>21817.184256338998</v>
      </c>
      <c r="E2884" s="2033">
        <v>11340.3551819862</v>
      </c>
      <c r="F2884" s="2034">
        <v>0.47771253704349598</v>
      </c>
      <c r="G2884" s="2035">
        <v>0.24688935501401199</v>
      </c>
    </row>
    <row r="2885" spans="1:7" x14ac:dyDescent="0.25">
      <c r="A2885" s="11" t="s">
        <v>6541</v>
      </c>
      <c r="B2885" s="11"/>
      <c r="C2885" s="2036">
        <v>35</v>
      </c>
      <c r="D2885" s="2036">
        <v>18319.985721182798</v>
      </c>
      <c r="E2885" s="2037">
        <v>7326.3540334934796</v>
      </c>
      <c r="F2885" s="2038">
        <v>0.401137321601162</v>
      </c>
      <c r="G2885" s="2039">
        <v>0.16190853554905599</v>
      </c>
    </row>
    <row r="2886" spans="1:7" x14ac:dyDescent="0.25">
      <c r="A2886" s="6" t="s">
        <v>6526</v>
      </c>
      <c r="B2886" s="6"/>
      <c r="C2886" s="2032">
        <v>20</v>
      </c>
      <c r="D2886" s="2032">
        <v>18308.792014338102</v>
      </c>
      <c r="E2886" s="2033">
        <v>10748.238926141899</v>
      </c>
      <c r="F2886" s="2034">
        <v>0.40089222241545203</v>
      </c>
      <c r="G2886" s="2035">
        <v>0.23526215947285301</v>
      </c>
    </row>
    <row r="2887" spans="1:7" x14ac:dyDescent="0.25">
      <c r="A2887" s="11" t="s">
        <v>6492</v>
      </c>
      <c r="B2887" s="11"/>
      <c r="C2887" s="2036">
        <v>37</v>
      </c>
      <c r="D2887" s="2036">
        <v>18190.785080644098</v>
      </c>
      <c r="E2887" s="2037">
        <v>8224.5865515686492</v>
      </c>
      <c r="F2887" s="2038">
        <v>0.39830832382334602</v>
      </c>
      <c r="G2887" s="2039">
        <v>0.17848968902260601</v>
      </c>
    </row>
    <row r="2888" spans="1:7" x14ac:dyDescent="0.25">
      <c r="A2888" s="6" t="s">
        <v>6525</v>
      </c>
      <c r="B2888" s="6"/>
      <c r="C2888" s="2032">
        <v>40</v>
      </c>
      <c r="D2888" s="2032">
        <v>15910.303942783399</v>
      </c>
      <c r="E2888" s="2033">
        <v>7398.8500543282798</v>
      </c>
      <c r="F2888" s="2034">
        <v>0.348374546061407</v>
      </c>
      <c r="G2888" s="2035">
        <v>0.162742978331784</v>
      </c>
    </row>
    <row r="2889" spans="1:7" x14ac:dyDescent="0.25">
      <c r="A2889" s="11" t="s">
        <v>6502</v>
      </c>
      <c r="B2889" s="11"/>
      <c r="C2889" s="2036">
        <v>12</v>
      </c>
      <c r="D2889" s="2036">
        <v>15767.117812956199</v>
      </c>
      <c r="E2889" s="2037">
        <v>10999.211602658201</v>
      </c>
      <c r="F2889" s="2038">
        <v>0.34523931978539002</v>
      </c>
      <c r="G2889" s="2039">
        <v>0.240098959839497</v>
      </c>
    </row>
    <row r="2890" spans="1:7" x14ac:dyDescent="0.25">
      <c r="A2890" s="6" t="s">
        <v>6513</v>
      </c>
      <c r="B2890" s="6"/>
      <c r="C2890" s="2032">
        <v>14</v>
      </c>
      <c r="D2890" s="2032">
        <v>15047.4455524155</v>
      </c>
      <c r="E2890" s="2033">
        <v>8637.7568685884107</v>
      </c>
      <c r="F2890" s="2034">
        <v>0.32948126148678902</v>
      </c>
      <c r="G2890" s="2035">
        <v>0.18980906961972799</v>
      </c>
    </row>
    <row r="2891" spans="1:7" x14ac:dyDescent="0.25">
      <c r="A2891" s="11" t="s">
        <v>6491</v>
      </c>
      <c r="B2891" s="11"/>
      <c r="C2891" s="2036">
        <v>24</v>
      </c>
      <c r="D2891" s="2036">
        <v>14031.537820900599</v>
      </c>
      <c r="E2891" s="2037">
        <v>6394.1425783663999</v>
      </c>
      <c r="F2891" s="2038">
        <v>0.30723678419210398</v>
      </c>
      <c r="G2891" s="2039">
        <v>0.13885628385103599</v>
      </c>
    </row>
    <row r="2892" spans="1:7" x14ac:dyDescent="0.25">
      <c r="A2892" s="6" t="s">
        <v>6485</v>
      </c>
      <c r="B2892" s="6"/>
      <c r="C2892" s="2032">
        <v>9</v>
      </c>
      <c r="D2892" s="2032">
        <v>13029.202497373</v>
      </c>
      <c r="E2892" s="2033">
        <v>7295.1746272774999</v>
      </c>
      <c r="F2892" s="2034">
        <v>0.28528949050174002</v>
      </c>
      <c r="G2892" s="2035">
        <v>0.15965004905104399</v>
      </c>
    </row>
    <row r="2893" spans="1:7" x14ac:dyDescent="0.25">
      <c r="A2893" s="11" t="s">
        <v>6503</v>
      </c>
      <c r="B2893" s="11"/>
      <c r="C2893" s="2036">
        <v>20</v>
      </c>
      <c r="D2893" s="2036">
        <v>10150.325252622601</v>
      </c>
      <c r="E2893" s="2037">
        <v>5242.3713017059399</v>
      </c>
      <c r="F2893" s="2038">
        <v>0.222253136393536</v>
      </c>
      <c r="G2893" s="2039">
        <v>0.11459286213112101</v>
      </c>
    </row>
    <row r="2894" spans="1:7" x14ac:dyDescent="0.25">
      <c r="A2894" s="6" t="s">
        <v>6510</v>
      </c>
      <c r="B2894" s="6"/>
      <c r="C2894" s="2032">
        <v>41</v>
      </c>
      <c r="D2894" s="2032">
        <v>10009.193129895501</v>
      </c>
      <c r="E2894" s="2033">
        <v>3363.41890654802</v>
      </c>
      <c r="F2894" s="2034">
        <v>0.219162884983722</v>
      </c>
      <c r="G2894" s="2035">
        <v>7.4473095166561198E-2</v>
      </c>
    </row>
    <row r="2895" spans="1:7" x14ac:dyDescent="0.25">
      <c r="A2895" s="11" t="s">
        <v>6500</v>
      </c>
      <c r="B2895" s="11"/>
      <c r="C2895" s="2036">
        <v>13</v>
      </c>
      <c r="D2895" s="2036">
        <v>9419.9264321628907</v>
      </c>
      <c r="E2895" s="2037">
        <v>5220.5733123463797</v>
      </c>
      <c r="F2895" s="2038">
        <v>0.20626020763262101</v>
      </c>
      <c r="G2895" s="2039">
        <v>0.114265533163505</v>
      </c>
    </row>
    <row r="2896" spans="1:7" x14ac:dyDescent="0.25">
      <c r="A2896" s="6" t="s">
        <v>6521</v>
      </c>
      <c r="B2896" s="6"/>
      <c r="C2896" s="2032">
        <v>21</v>
      </c>
      <c r="D2896" s="2032">
        <v>8282.9454739405901</v>
      </c>
      <c r="E2896" s="2033">
        <v>4957.5480176650699</v>
      </c>
      <c r="F2896" s="2034">
        <v>0.18136469170623801</v>
      </c>
      <c r="G2896" s="2035">
        <v>0.107309126830485</v>
      </c>
    </row>
    <row r="2897" spans="1:7" x14ac:dyDescent="0.25">
      <c r="A2897" s="11" t="s">
        <v>6529</v>
      </c>
      <c r="B2897" s="11"/>
      <c r="C2897" s="2036">
        <v>15</v>
      </c>
      <c r="D2897" s="2036">
        <v>7506.3892469754001</v>
      </c>
      <c r="E2897" s="2037">
        <v>4039.9294598453198</v>
      </c>
      <c r="F2897" s="2038">
        <v>0.16436109302999299</v>
      </c>
      <c r="G2897" s="2039">
        <v>8.82014398835608E-2</v>
      </c>
    </row>
    <row r="2898" spans="1:7" x14ac:dyDescent="0.25">
      <c r="A2898" s="6" t="s">
        <v>6589</v>
      </c>
      <c r="B2898" s="6"/>
      <c r="C2898" s="2032">
        <v>1</v>
      </c>
      <c r="D2898" s="2032">
        <v>7317.8712554109698</v>
      </c>
      <c r="E2898" s="2033">
        <v>7495.0354358163504</v>
      </c>
      <c r="F2898" s="2034">
        <v>0.160233273098215</v>
      </c>
      <c r="G2898" s="2035">
        <v>0.16414485630209</v>
      </c>
    </row>
    <row r="2899" spans="1:7" x14ac:dyDescent="0.25">
      <c r="A2899" s="11" t="s">
        <v>6520</v>
      </c>
      <c r="B2899" s="11"/>
      <c r="C2899" s="2036">
        <v>8</v>
      </c>
      <c r="D2899" s="2036">
        <v>7117.9708020631797</v>
      </c>
      <c r="E2899" s="2037">
        <v>5692.8711743633803</v>
      </c>
      <c r="F2899" s="2038">
        <v>0.15585622097256499</v>
      </c>
      <c r="G2899" s="2039">
        <v>0.124663683863726</v>
      </c>
    </row>
    <row r="2900" spans="1:7" x14ac:dyDescent="0.25">
      <c r="A2900" s="6" t="s">
        <v>6506</v>
      </c>
      <c r="B2900" s="6"/>
      <c r="C2900" s="2032">
        <v>11</v>
      </c>
      <c r="D2900" s="2032">
        <v>6726.7970653848997</v>
      </c>
      <c r="E2900" s="2033">
        <v>5772.9540770980302</v>
      </c>
      <c r="F2900" s="2034">
        <v>0.14729101860832899</v>
      </c>
      <c r="G2900" s="2035">
        <v>0.12651058173032201</v>
      </c>
    </row>
    <row r="2901" spans="1:7" x14ac:dyDescent="0.25">
      <c r="A2901" s="11" t="s">
        <v>6530</v>
      </c>
      <c r="B2901" s="11"/>
      <c r="C2901" s="2036">
        <v>15</v>
      </c>
      <c r="D2901" s="2036">
        <v>6380.6152549270601</v>
      </c>
      <c r="E2901" s="2037">
        <v>3308.1129422640302</v>
      </c>
      <c r="F2901" s="2038">
        <v>0.13971096661770199</v>
      </c>
      <c r="G2901" s="2039">
        <v>7.1874886428186305E-2</v>
      </c>
    </row>
    <row r="2902" spans="1:7" x14ac:dyDescent="0.25">
      <c r="A2902" s="6" t="s">
        <v>6538</v>
      </c>
      <c r="B2902" s="6"/>
      <c r="C2902" s="2032">
        <v>3</v>
      </c>
      <c r="D2902" s="2032">
        <v>5911.1965157705599</v>
      </c>
      <c r="E2902" s="2033">
        <v>5892.5315141566898</v>
      </c>
      <c r="F2902" s="2034">
        <v>0.12943249923238601</v>
      </c>
      <c r="G2902" s="2035">
        <v>0.12921737276408099</v>
      </c>
    </row>
    <row r="2903" spans="1:7" x14ac:dyDescent="0.25">
      <c r="A2903" s="11" t="s">
        <v>6518</v>
      </c>
      <c r="B2903" s="11"/>
      <c r="C2903" s="2036">
        <v>6</v>
      </c>
      <c r="D2903" s="2036">
        <v>5704.80305726393</v>
      </c>
      <c r="E2903" s="2037">
        <v>4780.2379058769002</v>
      </c>
      <c r="F2903" s="2038">
        <v>0.12491327523290401</v>
      </c>
      <c r="G2903" s="2039">
        <v>0.104376112918476</v>
      </c>
    </row>
    <row r="2904" spans="1:7" x14ac:dyDescent="0.25">
      <c r="A2904" s="6" t="s">
        <v>6544</v>
      </c>
      <c r="B2904" s="6"/>
      <c r="C2904" s="2032">
        <v>1</v>
      </c>
      <c r="D2904" s="2032">
        <v>5686.2646284614002</v>
      </c>
      <c r="E2904" s="2033">
        <v>5715.8830935489104</v>
      </c>
      <c r="F2904" s="2034">
        <v>0.124507354846844</v>
      </c>
      <c r="G2904" s="2035">
        <v>0.12531334522757501</v>
      </c>
    </row>
    <row r="2905" spans="1:7" x14ac:dyDescent="0.25">
      <c r="A2905" s="11" t="s">
        <v>6519</v>
      </c>
      <c r="B2905" s="11"/>
      <c r="C2905" s="2036">
        <v>10</v>
      </c>
      <c r="D2905" s="2036">
        <v>4158.5212930776697</v>
      </c>
      <c r="E2905" s="2037">
        <v>2000.9094913117101</v>
      </c>
      <c r="F2905" s="2038">
        <v>9.1055643749643506E-2</v>
      </c>
      <c r="G2905" s="2039">
        <v>4.3636429328096298E-2</v>
      </c>
    </row>
    <row r="2906" spans="1:7" x14ac:dyDescent="0.25">
      <c r="A2906" s="6" t="s">
        <v>6508</v>
      </c>
      <c r="B2906" s="6"/>
      <c r="C2906" s="2032">
        <v>8</v>
      </c>
      <c r="D2906" s="2032">
        <v>3751.7339813272501</v>
      </c>
      <c r="E2906" s="2033">
        <v>3067.1194819175798</v>
      </c>
      <c r="F2906" s="2034">
        <v>8.2148564061899798E-2</v>
      </c>
      <c r="G2906" s="2035">
        <v>6.7488902211276194E-2</v>
      </c>
    </row>
    <row r="2907" spans="1:7" x14ac:dyDescent="0.25">
      <c r="A2907" s="11" t="s">
        <v>6488</v>
      </c>
      <c r="B2907" s="11"/>
      <c r="C2907" s="2036">
        <v>17</v>
      </c>
      <c r="D2907" s="2036">
        <v>3686.7284037793202</v>
      </c>
      <c r="E2907" s="2037">
        <v>2002.38818458827</v>
      </c>
      <c r="F2907" s="2038">
        <v>8.0725191595153803E-2</v>
      </c>
      <c r="G2907" s="2039">
        <v>4.3463966860804802E-2</v>
      </c>
    </row>
    <row r="2908" spans="1:7" x14ac:dyDescent="0.25">
      <c r="A2908" s="6" t="s">
        <v>6495</v>
      </c>
      <c r="B2908" s="6"/>
      <c r="C2908" s="2032">
        <v>9</v>
      </c>
      <c r="D2908" s="2032">
        <v>3090.6114000416801</v>
      </c>
      <c r="E2908" s="2033">
        <v>2086.4916268970801</v>
      </c>
      <c r="F2908" s="2034">
        <v>6.7672518854053607E-2</v>
      </c>
      <c r="G2908" s="2035">
        <v>4.5822407571511001E-2</v>
      </c>
    </row>
    <row r="2909" spans="1:7" x14ac:dyDescent="0.25">
      <c r="A2909" s="11" t="s">
        <v>6535</v>
      </c>
      <c r="B2909" s="11"/>
      <c r="C2909" s="2036">
        <v>4</v>
      </c>
      <c r="D2909" s="2036">
        <v>2871.2373083326602</v>
      </c>
      <c r="E2909" s="2037">
        <v>1999.1540891182301</v>
      </c>
      <c r="F2909" s="2038">
        <v>6.2869068845078202E-2</v>
      </c>
      <c r="G2909" s="2039">
        <v>4.3761144336924303E-2</v>
      </c>
    </row>
    <row r="2910" spans="1:7" x14ac:dyDescent="0.25">
      <c r="A2910" s="6" t="s">
        <v>6487</v>
      </c>
      <c r="B2910" s="6"/>
      <c r="C2910" s="2032">
        <v>9</v>
      </c>
      <c r="D2910" s="2032">
        <v>2678.2474447480399</v>
      </c>
      <c r="E2910" s="2033">
        <v>1556.1359969583</v>
      </c>
      <c r="F2910" s="2034">
        <v>5.8643332092183503E-2</v>
      </c>
      <c r="G2910" s="2035">
        <v>3.3959211434945798E-2</v>
      </c>
    </row>
    <row r="2911" spans="1:7" x14ac:dyDescent="0.25">
      <c r="A2911" s="11" t="s">
        <v>6509</v>
      </c>
      <c r="B2911" s="11"/>
      <c r="C2911" s="2036">
        <v>13</v>
      </c>
      <c r="D2911" s="2036">
        <v>2115.2438219177998</v>
      </c>
      <c r="E2911" s="2037">
        <v>1262.8325522775699</v>
      </c>
      <c r="F2911" s="2038">
        <v>4.6315715206940201E-2</v>
      </c>
      <c r="G2911" s="2039">
        <v>2.7489342480857701E-2</v>
      </c>
    </row>
    <row r="2912" spans="1:7" x14ac:dyDescent="0.25">
      <c r="A2912" s="6" t="s">
        <v>6537</v>
      </c>
      <c r="B2912" s="6"/>
      <c r="C2912" s="2032">
        <v>11</v>
      </c>
      <c r="D2912" s="2032">
        <v>2113.3248203675498</v>
      </c>
      <c r="E2912" s="2033">
        <v>1541.58198451464</v>
      </c>
      <c r="F2912" s="2034">
        <v>4.6273696443730701E-2</v>
      </c>
      <c r="G2912" s="2035">
        <v>3.3790190271564498E-2</v>
      </c>
    </row>
    <row r="2913" spans="1:7" x14ac:dyDescent="0.25">
      <c r="A2913" s="11" t="s">
        <v>6539</v>
      </c>
      <c r="B2913" s="11"/>
      <c r="C2913" s="2036">
        <v>5</v>
      </c>
      <c r="D2913" s="2036">
        <v>1592.00008137134</v>
      </c>
      <c r="E2913" s="2037">
        <v>1596.12917873232</v>
      </c>
      <c r="F2913" s="2038">
        <v>3.4858687028981997E-2</v>
      </c>
      <c r="G2913" s="2039">
        <v>3.5069173371146199E-2</v>
      </c>
    </row>
    <row r="2914" spans="1:7" x14ac:dyDescent="0.25">
      <c r="A2914" s="6" t="s">
        <v>6494</v>
      </c>
      <c r="B2914" s="6"/>
      <c r="C2914" s="2032">
        <v>5</v>
      </c>
      <c r="D2914" s="2032">
        <v>1431.31781182445</v>
      </c>
      <c r="E2914" s="2033">
        <v>1065.1423091131501</v>
      </c>
      <c r="F2914" s="2034">
        <v>3.1340362494465097E-2</v>
      </c>
      <c r="G2914" s="2035">
        <v>2.3282149521573901E-2</v>
      </c>
    </row>
    <row r="2915" spans="1:7" x14ac:dyDescent="0.25">
      <c r="A2915" s="11" t="s">
        <v>6531</v>
      </c>
      <c r="B2915" s="11"/>
      <c r="C2915" s="2036">
        <v>10</v>
      </c>
      <c r="D2915" s="2036">
        <v>1179.54515019977</v>
      </c>
      <c r="E2915" s="2037">
        <v>397.49713388101799</v>
      </c>
      <c r="F2915" s="2038">
        <v>2.5827508244816898E-2</v>
      </c>
      <c r="G2915" s="2039">
        <v>8.7682360363976995E-3</v>
      </c>
    </row>
    <row r="2916" spans="1:7" x14ac:dyDescent="0.25">
      <c r="A2916" s="6" t="s">
        <v>6546</v>
      </c>
      <c r="B2916" s="6"/>
      <c r="C2916" s="2032">
        <v>2</v>
      </c>
      <c r="D2916" s="2032">
        <v>1152.59472370138</v>
      </c>
      <c r="E2916" s="2033">
        <v>1145.6821316385001</v>
      </c>
      <c r="F2916" s="2034">
        <v>2.5237397419071401E-2</v>
      </c>
      <c r="G2916" s="2035">
        <v>2.5104320330594398E-2</v>
      </c>
    </row>
    <row r="2917" spans="1:7" x14ac:dyDescent="0.25">
      <c r="A2917" s="11" t="s">
        <v>6532</v>
      </c>
      <c r="B2917" s="11"/>
      <c r="C2917" s="2036">
        <v>7</v>
      </c>
      <c r="D2917" s="2036">
        <v>1077.43465634566</v>
      </c>
      <c r="E2917" s="2037">
        <v>596.61366823119795</v>
      </c>
      <c r="F2917" s="2038">
        <v>2.3591680628169201E-2</v>
      </c>
      <c r="G2917" s="2039">
        <v>1.30224575338941E-2</v>
      </c>
    </row>
    <row r="2918" spans="1:7" x14ac:dyDescent="0.25">
      <c r="A2918" s="6" t="s">
        <v>6498</v>
      </c>
      <c r="B2918" s="6"/>
      <c r="C2918" s="2032">
        <v>5</v>
      </c>
      <c r="D2918" s="2032">
        <v>507.819686128255</v>
      </c>
      <c r="E2918" s="2033">
        <v>319.70037226249599</v>
      </c>
      <c r="F2918" s="2034">
        <v>1.11193006288369E-2</v>
      </c>
      <c r="G2918" s="2035">
        <v>7.0096177729378501E-3</v>
      </c>
    </row>
    <row r="2919" spans="1:7" x14ac:dyDescent="0.25">
      <c r="A2919" s="11" t="s">
        <v>6528</v>
      </c>
      <c r="B2919" s="11"/>
      <c r="C2919" s="2036">
        <v>4</v>
      </c>
      <c r="D2919" s="2036">
        <v>471.34681211721602</v>
      </c>
      <c r="E2919" s="2037">
        <v>367.45578729547202</v>
      </c>
      <c r="F2919" s="2038">
        <v>1.0320684777571899E-2</v>
      </c>
      <c r="G2919" s="2039">
        <v>8.0641145631810598E-3</v>
      </c>
    </row>
    <row r="2920" spans="1:7" x14ac:dyDescent="0.25">
      <c r="A2920" s="6" t="s">
        <v>6504</v>
      </c>
      <c r="B2920" s="6"/>
      <c r="C2920" s="2032">
        <v>7</v>
      </c>
      <c r="D2920" s="2032">
        <v>316.4807099491</v>
      </c>
      <c r="E2920" s="2033">
        <v>208.631679587636</v>
      </c>
      <c r="F2920" s="2034">
        <v>6.92971196918703E-3</v>
      </c>
      <c r="G2920" s="2035">
        <v>4.5551314023294601E-3</v>
      </c>
    </row>
    <row r="2921" spans="1:7" x14ac:dyDescent="0.25">
      <c r="A2921" s="11" t="s">
        <v>6542</v>
      </c>
      <c r="B2921" s="11"/>
      <c r="C2921" s="2036">
        <v>2</v>
      </c>
      <c r="D2921" s="2036">
        <v>273.77463018450902</v>
      </c>
      <c r="E2921" s="2037">
        <v>272.73767516526499</v>
      </c>
      <c r="F2921" s="2038">
        <v>5.9946128531956E-3</v>
      </c>
      <c r="G2921" s="2039">
        <v>5.9929308014324504E-3</v>
      </c>
    </row>
    <row r="2922" spans="1:7" x14ac:dyDescent="0.25">
      <c r="A2922" s="6" t="s">
        <v>6516</v>
      </c>
      <c r="B2922" s="6"/>
      <c r="C2922" s="2032">
        <v>4</v>
      </c>
      <c r="D2922" s="2032">
        <v>213.786179190664</v>
      </c>
      <c r="E2922" s="2033">
        <v>149.659934127778</v>
      </c>
      <c r="F2922" s="2034">
        <v>4.6810961875767198E-3</v>
      </c>
      <c r="G2922" s="2035">
        <v>3.2740477083259001E-3</v>
      </c>
    </row>
    <row r="2923" spans="1:7" x14ac:dyDescent="0.25">
      <c r="A2923" s="11" t="s">
        <v>6543</v>
      </c>
      <c r="B2923" s="11"/>
      <c r="C2923" s="2036">
        <v>2</v>
      </c>
      <c r="D2923" s="2036">
        <v>191.86900388903601</v>
      </c>
      <c r="E2923" s="2037">
        <v>148.04338758343599</v>
      </c>
      <c r="F2923" s="2038">
        <v>4.2011942306995204E-3</v>
      </c>
      <c r="G2923" s="2039">
        <v>3.2498259784967398E-3</v>
      </c>
    </row>
    <row r="2924" spans="1:7" x14ac:dyDescent="0.25">
      <c r="A2924" s="6" t="s">
        <v>6590</v>
      </c>
      <c r="B2924" s="6"/>
      <c r="C2924" s="2032">
        <v>3</v>
      </c>
      <c r="D2924" s="2032">
        <v>165.85237025254901</v>
      </c>
      <c r="E2924" s="2033">
        <v>115.177585431983</v>
      </c>
      <c r="F2924" s="2034">
        <v>3.6315298820012499E-3</v>
      </c>
      <c r="G2924" s="2035">
        <v>2.5188392245375502E-3</v>
      </c>
    </row>
    <row r="2925" spans="1:7" x14ac:dyDescent="0.25">
      <c r="A2925" s="11" t="s">
        <v>6534</v>
      </c>
      <c r="B2925" s="11"/>
      <c r="C2925" s="2036">
        <v>1</v>
      </c>
      <c r="D2925" s="2036">
        <v>139.041048998284</v>
      </c>
      <c r="E2925" s="2037">
        <v>142.118574020859</v>
      </c>
      <c r="F2925" s="2038">
        <v>3.0444649268092602E-3</v>
      </c>
      <c r="G2925" s="2039">
        <v>3.1165111580616599E-3</v>
      </c>
    </row>
    <row r="2926" spans="1:7" x14ac:dyDescent="0.25">
      <c r="A2926" s="6" t="s">
        <v>6507</v>
      </c>
      <c r="B2926" s="6"/>
      <c r="C2926" s="2032">
        <v>2</v>
      </c>
      <c r="D2926" s="2032">
        <v>129.99957694663999</v>
      </c>
      <c r="E2926" s="2033">
        <v>130.42034585731301</v>
      </c>
      <c r="F2926" s="2034">
        <v>2.8464914164950802E-3</v>
      </c>
      <c r="G2926" s="2035">
        <v>2.8584280773182799E-3</v>
      </c>
    </row>
    <row r="2927" spans="1:7" x14ac:dyDescent="0.25">
      <c r="A2927" s="11" t="s">
        <v>6523</v>
      </c>
      <c r="B2927" s="11"/>
      <c r="C2927" s="2036">
        <v>6</v>
      </c>
      <c r="D2927" s="2036">
        <v>119.26975219834701</v>
      </c>
      <c r="E2927" s="2037">
        <v>57.112573343757902</v>
      </c>
      <c r="F2927" s="2038">
        <v>2.6115494669605001E-3</v>
      </c>
      <c r="G2927" s="2039">
        <v>1.2460635040319099E-3</v>
      </c>
    </row>
    <row r="2928" spans="1:7" x14ac:dyDescent="0.25">
      <c r="A2928" s="6" t="s">
        <v>6591</v>
      </c>
      <c r="B2928" s="6"/>
      <c r="C2928" s="2032">
        <v>1</v>
      </c>
      <c r="D2928" s="2032">
        <v>97.028409665953106</v>
      </c>
      <c r="E2928" s="2033">
        <v>104.515123163813</v>
      </c>
      <c r="F2928" s="2034">
        <v>2.1245494928315801E-3</v>
      </c>
      <c r="G2928" s="2035">
        <v>2.28754338178663E-3</v>
      </c>
    </row>
    <row r="2929" spans="1:7" x14ac:dyDescent="0.25">
      <c r="A2929" s="11" t="s">
        <v>6592</v>
      </c>
      <c r="B2929" s="11"/>
      <c r="C2929" s="2036">
        <v>2</v>
      </c>
      <c r="D2929" s="2036">
        <v>90.872832527846398</v>
      </c>
      <c r="E2929" s="2037">
        <v>62.667654337318197</v>
      </c>
      <c r="F2929" s="2038">
        <v>1.98976599661769E-3</v>
      </c>
      <c r="G2929" s="2039">
        <v>1.37094030682423E-3</v>
      </c>
    </row>
    <row r="2930" spans="1:7" x14ac:dyDescent="0.25">
      <c r="A2930" s="6" t="s">
        <v>6522</v>
      </c>
      <c r="B2930" s="6"/>
      <c r="C2930" s="2032">
        <v>1</v>
      </c>
      <c r="D2930" s="2032">
        <v>76.102117357778596</v>
      </c>
      <c r="E2930" s="2033">
        <v>77.939615019455005</v>
      </c>
      <c r="F2930" s="2034">
        <v>1.6663440676036501E-3</v>
      </c>
      <c r="G2930" s="2035">
        <v>1.7111990631172699E-3</v>
      </c>
    </row>
    <row r="2931" spans="1:7" x14ac:dyDescent="0.25">
      <c r="A2931" s="11" t="s">
        <v>6593</v>
      </c>
      <c r="B2931" s="11"/>
      <c r="C2931" s="2036">
        <v>1</v>
      </c>
      <c r="D2931" s="2036">
        <v>61.115682553640497</v>
      </c>
      <c r="E2931" s="2037">
        <v>61.3882596096771</v>
      </c>
      <c r="F2931" s="2038">
        <v>1.3381987071664301E-3</v>
      </c>
      <c r="G2931" s="2039">
        <v>1.34441264757152E-3</v>
      </c>
    </row>
    <row r="2932" spans="1:7" x14ac:dyDescent="0.25">
      <c r="A2932" s="6" t="s">
        <v>6594</v>
      </c>
      <c r="B2932" s="6"/>
      <c r="C2932" s="2032">
        <v>1</v>
      </c>
      <c r="D2932" s="2032">
        <v>54.055485616354098</v>
      </c>
      <c r="E2932" s="2033">
        <v>55.485742297463702</v>
      </c>
      <c r="F2932" s="2034">
        <v>1.18360751192739E-3</v>
      </c>
      <c r="G2932" s="2035">
        <v>1.2165007009293501E-3</v>
      </c>
    </row>
    <row r="2933" spans="1:7" x14ac:dyDescent="0.25">
      <c r="A2933" s="11" t="s">
        <v>6595</v>
      </c>
      <c r="B2933" s="11"/>
      <c r="C2933" s="2036">
        <v>1</v>
      </c>
      <c r="D2933" s="2036">
        <v>51.807813980389398</v>
      </c>
      <c r="E2933" s="2037">
        <v>52.818269163851397</v>
      </c>
      <c r="F2933" s="2038">
        <v>1.1343921362381301E-3</v>
      </c>
      <c r="G2933" s="2039">
        <v>1.15755572047243E-3</v>
      </c>
    </row>
    <row r="2934" spans="1:7" x14ac:dyDescent="0.25">
      <c r="A2934" s="6" t="s">
        <v>6596</v>
      </c>
      <c r="B2934" s="6"/>
      <c r="C2934" s="2032">
        <v>1</v>
      </c>
      <c r="D2934" s="2032">
        <v>43.505456254811101</v>
      </c>
      <c r="E2934" s="2033">
        <v>44.408780358695303</v>
      </c>
      <c r="F2934" s="2034">
        <v>9.5260239078203302E-4</v>
      </c>
      <c r="G2934" s="2035">
        <v>9.7303408110881401E-4</v>
      </c>
    </row>
    <row r="2935" spans="1:7" x14ac:dyDescent="0.25">
      <c r="A2935" s="11" t="s">
        <v>978</v>
      </c>
      <c r="B2935" s="11" t="s">
        <v>979</v>
      </c>
      <c r="C2935" s="2036">
        <v>19</v>
      </c>
      <c r="D2935" s="2036">
        <v>11456.1374729126</v>
      </c>
      <c r="E2935" s="2037">
        <v>5093.5609287062698</v>
      </c>
      <c r="F2935" s="2038">
        <v>83.266277071351396</v>
      </c>
      <c r="G2935" s="2039">
        <v>11.605350252021999</v>
      </c>
    </row>
    <row r="2936" spans="1:7" x14ac:dyDescent="0.25">
      <c r="A2936" s="6" t="s">
        <v>980</v>
      </c>
      <c r="B2936" s="6" t="s">
        <v>981</v>
      </c>
      <c r="C2936" s="2032">
        <v>10</v>
      </c>
      <c r="D2936" s="2032">
        <v>2302.2985660804302</v>
      </c>
      <c r="E2936" s="2033">
        <v>1450.4511261504199</v>
      </c>
      <c r="F2936" s="2034">
        <v>16.7337229286486</v>
      </c>
      <c r="G2936" s="2035">
        <v>11.605350252021999</v>
      </c>
    </row>
    <row r="2937" spans="1:7" x14ac:dyDescent="0.25">
      <c r="A2937" s="11" t="s">
        <v>6293</v>
      </c>
      <c r="B2937" s="11" t="s">
        <v>6294</v>
      </c>
      <c r="C2937" s="2036">
        <v>6155</v>
      </c>
      <c r="D2937" s="2036">
        <v>4567011.0295540597</v>
      </c>
      <c r="E2937" s="2037">
        <v>75045.251183751301</v>
      </c>
      <c r="F2937" s="2038">
        <v>99.699647927224106</v>
      </c>
      <c r="G2937" s="2039">
        <v>0.11918199848995099</v>
      </c>
    </row>
    <row r="2938" spans="1:7" x14ac:dyDescent="0.25">
      <c r="A2938" s="6" t="s">
        <v>6293</v>
      </c>
      <c r="B2938" s="6" t="s">
        <v>6295</v>
      </c>
      <c r="C2938" s="2032">
        <v>6184</v>
      </c>
      <c r="D2938" s="2032">
        <v>4580769.4655930502</v>
      </c>
      <c r="E2938" s="2033">
        <v>0</v>
      </c>
      <c r="F2938" s="2034">
        <v>100</v>
      </c>
      <c r="G2938" s="2035">
        <v>0</v>
      </c>
    </row>
    <row r="2939" spans="1:7" x14ac:dyDescent="0.25">
      <c r="A2939" s="3353" t="s">
        <v>810</v>
      </c>
      <c r="B2939" s="3354"/>
      <c r="C2939" s="3354"/>
      <c r="D2939" s="3354"/>
      <c r="E2939" s="3354"/>
      <c r="F2939" s="3354"/>
      <c r="G2939" s="3354"/>
    </row>
    <row r="2940" spans="1:7" x14ac:dyDescent="0.25">
      <c r="A2940" s="11" t="s">
        <v>6296</v>
      </c>
      <c r="B2940" s="11"/>
      <c r="C2940" s="2044">
        <v>403</v>
      </c>
      <c r="D2940" s="2044">
        <v>350656.93146046897</v>
      </c>
      <c r="E2940" s="2045">
        <v>30265.463073989398</v>
      </c>
      <c r="F2940" s="2046">
        <v>7.6780399519794598</v>
      </c>
      <c r="G2940" s="2047">
        <v>0.69764111878044999</v>
      </c>
    </row>
    <row r="2941" spans="1:7" x14ac:dyDescent="0.25">
      <c r="A2941" s="6" t="s">
        <v>6298</v>
      </c>
      <c r="B2941" s="6"/>
      <c r="C2941" s="2040">
        <v>359</v>
      </c>
      <c r="D2941" s="2040">
        <v>329400.28981743997</v>
      </c>
      <c r="E2941" s="2041">
        <v>30210.1824989417</v>
      </c>
      <c r="F2941" s="2042">
        <v>7.2126011451652703</v>
      </c>
      <c r="G2941" s="2043">
        <v>0.61093968110341301</v>
      </c>
    </row>
    <row r="2942" spans="1:7" x14ac:dyDescent="0.25">
      <c r="A2942" s="11" t="s">
        <v>1019</v>
      </c>
      <c r="B2942" s="11"/>
      <c r="C2942" s="2044">
        <v>372</v>
      </c>
      <c r="D2942" s="2044">
        <v>299198.06622036599</v>
      </c>
      <c r="E2942" s="2045">
        <v>24243.468661432798</v>
      </c>
      <c r="F2942" s="2046">
        <v>6.5512884528676203</v>
      </c>
      <c r="G2942" s="2047">
        <v>0.51470974316442097</v>
      </c>
    </row>
    <row r="2943" spans="1:7" x14ac:dyDescent="0.25">
      <c r="A2943" s="6" t="s">
        <v>6297</v>
      </c>
      <c r="B2943" s="6"/>
      <c r="C2943" s="2040">
        <v>353</v>
      </c>
      <c r="D2943" s="2040">
        <v>292601.74377386598</v>
      </c>
      <c r="E2943" s="2041">
        <v>28518.937203859699</v>
      </c>
      <c r="F2943" s="2042">
        <v>6.4068543272696301</v>
      </c>
      <c r="G2943" s="2043">
        <v>0.61278938083102497</v>
      </c>
    </row>
    <row r="2944" spans="1:7" x14ac:dyDescent="0.25">
      <c r="A2944" s="11" t="s">
        <v>6300</v>
      </c>
      <c r="B2944" s="11"/>
      <c r="C2944" s="2044">
        <v>368</v>
      </c>
      <c r="D2944" s="2044">
        <v>279445.58207501698</v>
      </c>
      <c r="E2944" s="2045">
        <v>25480.227931282501</v>
      </c>
      <c r="F2944" s="2046">
        <v>6.1187849178963596</v>
      </c>
      <c r="G2944" s="2047">
        <v>0.56119776086255801</v>
      </c>
    </row>
    <row r="2945" spans="1:7" x14ac:dyDescent="0.25">
      <c r="A2945" s="6" t="s">
        <v>1023</v>
      </c>
      <c r="B2945" s="6"/>
      <c r="C2945" s="2040">
        <v>334</v>
      </c>
      <c r="D2945" s="2040">
        <v>250460.15851151399</v>
      </c>
      <c r="E2945" s="2041">
        <v>25179.353165401499</v>
      </c>
      <c r="F2945" s="2042">
        <v>5.4841154726961499</v>
      </c>
      <c r="G2945" s="2043">
        <v>0.53330159821895395</v>
      </c>
    </row>
    <row r="2946" spans="1:7" x14ac:dyDescent="0.25">
      <c r="A2946" s="11" t="s">
        <v>6299</v>
      </c>
      <c r="B2946" s="11"/>
      <c r="C2946" s="2044">
        <v>285</v>
      </c>
      <c r="D2946" s="2044">
        <v>238099.926411436</v>
      </c>
      <c r="E2946" s="2045">
        <v>33792.952855462201</v>
      </c>
      <c r="F2946" s="2046">
        <v>5.2134738644299796</v>
      </c>
      <c r="G2946" s="2047">
        <v>0.72817694583165304</v>
      </c>
    </row>
    <row r="2947" spans="1:7" x14ac:dyDescent="0.25">
      <c r="A2947" s="6" t="s">
        <v>1017</v>
      </c>
      <c r="B2947" s="6"/>
      <c r="C2947" s="2040">
        <v>305</v>
      </c>
      <c r="D2947" s="2040">
        <v>214861.758261282</v>
      </c>
      <c r="E2947" s="2041">
        <v>32920.384240538799</v>
      </c>
      <c r="F2947" s="2042">
        <v>4.7046472380046298</v>
      </c>
      <c r="G2947" s="2043">
        <v>0.74945663489871805</v>
      </c>
    </row>
    <row r="2948" spans="1:7" x14ac:dyDescent="0.25">
      <c r="A2948" s="11" t="s">
        <v>1021</v>
      </c>
      <c r="B2948" s="11"/>
      <c r="C2948" s="2044">
        <v>310</v>
      </c>
      <c r="D2948" s="2044">
        <v>214038.07427514801</v>
      </c>
      <c r="E2948" s="2045">
        <v>29680.753632853201</v>
      </c>
      <c r="F2948" s="2046">
        <v>4.68661172241677</v>
      </c>
      <c r="G2948" s="2047">
        <v>0.65366787005481397</v>
      </c>
    </row>
    <row r="2949" spans="1:7" x14ac:dyDescent="0.25">
      <c r="A2949" s="6" t="s">
        <v>1029</v>
      </c>
      <c r="B2949" s="6"/>
      <c r="C2949" s="2040">
        <v>242</v>
      </c>
      <c r="D2949" s="2040">
        <v>211855.43187600499</v>
      </c>
      <c r="E2949" s="2041">
        <v>28466.733619875398</v>
      </c>
      <c r="F2949" s="2042">
        <v>4.6388202372414904</v>
      </c>
      <c r="G2949" s="2043">
        <v>0.62737066870801395</v>
      </c>
    </row>
    <row r="2950" spans="1:7" x14ac:dyDescent="0.25">
      <c r="A2950" s="11" t="s">
        <v>1025</v>
      </c>
      <c r="B2950" s="11"/>
      <c r="C2950" s="2044">
        <v>259</v>
      </c>
      <c r="D2950" s="2044">
        <v>182731.991334697</v>
      </c>
      <c r="E2950" s="2045">
        <v>28321.9654746337</v>
      </c>
      <c r="F2950" s="2046">
        <v>4.0011287503402402</v>
      </c>
      <c r="G2950" s="2047">
        <v>0.64167796180799797</v>
      </c>
    </row>
    <row r="2951" spans="1:7" x14ac:dyDescent="0.25">
      <c r="A2951" s="6" t="s">
        <v>6302</v>
      </c>
      <c r="B2951" s="6"/>
      <c r="C2951" s="2040">
        <v>230</v>
      </c>
      <c r="D2951" s="2040">
        <v>182157.08342093599</v>
      </c>
      <c r="E2951" s="2041">
        <v>25000.741195494302</v>
      </c>
      <c r="F2951" s="2042">
        <v>3.9885404752070901</v>
      </c>
      <c r="G2951" s="2043">
        <v>0.52812832874034199</v>
      </c>
    </row>
    <row r="2952" spans="1:7" x14ac:dyDescent="0.25">
      <c r="A2952" s="11" t="s">
        <v>6301</v>
      </c>
      <c r="B2952" s="11"/>
      <c r="C2952" s="2044">
        <v>261</v>
      </c>
      <c r="D2952" s="2044">
        <v>178235.33042460601</v>
      </c>
      <c r="E2952" s="2045">
        <v>23690.5834425176</v>
      </c>
      <c r="F2952" s="2046">
        <v>3.9026691477469502</v>
      </c>
      <c r="G2952" s="2047">
        <v>0.52414939824534601</v>
      </c>
    </row>
    <row r="2953" spans="1:7" x14ac:dyDescent="0.25">
      <c r="A2953" s="6" t="s">
        <v>6304</v>
      </c>
      <c r="B2953" s="6"/>
      <c r="C2953" s="2040">
        <v>274</v>
      </c>
      <c r="D2953" s="2040">
        <v>168918.500712459</v>
      </c>
      <c r="E2953" s="2041">
        <v>18690.644959903999</v>
      </c>
      <c r="F2953" s="2042">
        <v>3.69866636229589</v>
      </c>
      <c r="G2953" s="2043">
        <v>0.40968121029448601</v>
      </c>
    </row>
    <row r="2954" spans="1:7" x14ac:dyDescent="0.25">
      <c r="A2954" s="11" t="s">
        <v>1027</v>
      </c>
      <c r="B2954" s="11"/>
      <c r="C2954" s="2044">
        <v>214</v>
      </c>
      <c r="D2954" s="2044">
        <v>163952.27763305701</v>
      </c>
      <c r="E2954" s="2045">
        <v>27497.032864720601</v>
      </c>
      <c r="F2954" s="2046">
        <v>3.5899251517478001</v>
      </c>
      <c r="G2954" s="2047">
        <v>0.59641341117136604</v>
      </c>
    </row>
    <row r="2955" spans="1:7" x14ac:dyDescent="0.25">
      <c r="A2955" s="6" t="s">
        <v>1031</v>
      </c>
      <c r="B2955" s="6"/>
      <c r="C2955" s="2040">
        <v>186</v>
      </c>
      <c r="D2955" s="2040">
        <v>154420.265413249</v>
      </c>
      <c r="E2955" s="2041">
        <v>35486.736153529702</v>
      </c>
      <c r="F2955" s="2042">
        <v>3.3812106958788499</v>
      </c>
      <c r="G2955" s="2043">
        <v>0.77781856211073797</v>
      </c>
    </row>
    <row r="2956" spans="1:7" x14ac:dyDescent="0.25">
      <c r="A2956" s="11" t="s">
        <v>6303</v>
      </c>
      <c r="B2956" s="11"/>
      <c r="C2956" s="2044">
        <v>194</v>
      </c>
      <c r="D2956" s="2044">
        <v>139375.55735998799</v>
      </c>
      <c r="E2956" s="2045">
        <v>22202.3713017355</v>
      </c>
      <c r="F2956" s="2046">
        <v>3.0517893751090202</v>
      </c>
      <c r="G2956" s="2047">
        <v>0.48790866349273498</v>
      </c>
    </row>
    <row r="2957" spans="1:7" x14ac:dyDescent="0.25">
      <c r="A2957" s="6" t="s">
        <v>1033</v>
      </c>
      <c r="B2957" s="6"/>
      <c r="C2957" s="2040">
        <v>149</v>
      </c>
      <c r="D2957" s="2040">
        <v>92026.798645190793</v>
      </c>
      <c r="E2957" s="2041">
        <v>14988.0929651851</v>
      </c>
      <c r="F2957" s="2042">
        <v>2.0150334222901298</v>
      </c>
      <c r="G2957" s="2043">
        <v>0.32058243909582701</v>
      </c>
    </row>
    <row r="2958" spans="1:7" x14ac:dyDescent="0.25">
      <c r="A2958" s="11" t="s">
        <v>1177</v>
      </c>
      <c r="B2958" s="11"/>
      <c r="C2958" s="2044">
        <v>112</v>
      </c>
      <c r="D2958" s="2044">
        <v>85279.854574410798</v>
      </c>
      <c r="E2958" s="2045">
        <v>18245.302026633199</v>
      </c>
      <c r="F2958" s="2046">
        <v>1.8673012616467799</v>
      </c>
      <c r="G2958" s="2047">
        <v>0.39090121318388199</v>
      </c>
    </row>
    <row r="2959" spans="1:7" x14ac:dyDescent="0.25">
      <c r="A2959" s="6" t="s">
        <v>1035</v>
      </c>
      <c r="B2959" s="6"/>
      <c r="C2959" s="2040">
        <v>127</v>
      </c>
      <c r="D2959" s="2040">
        <v>79529.566725042198</v>
      </c>
      <c r="E2959" s="2041">
        <v>20559.657876697001</v>
      </c>
      <c r="F2959" s="2042">
        <v>1.74139204417047</v>
      </c>
      <c r="G2959" s="2043">
        <v>0.45482959097536402</v>
      </c>
    </row>
    <row r="2960" spans="1:7" x14ac:dyDescent="0.25">
      <c r="A2960" s="11" t="s">
        <v>1071</v>
      </c>
      <c r="B2960" s="11"/>
      <c r="C2960" s="2044">
        <v>86</v>
      </c>
      <c r="D2960" s="2044">
        <v>61209.6942825226</v>
      </c>
      <c r="E2960" s="2045">
        <v>15746.0834781255</v>
      </c>
      <c r="F2960" s="2046">
        <v>1.34025720293694</v>
      </c>
      <c r="G2960" s="2047">
        <v>0.348742003629405</v>
      </c>
    </row>
    <row r="2961" spans="1:7" x14ac:dyDescent="0.25">
      <c r="A2961" s="6" t="s">
        <v>1075</v>
      </c>
      <c r="B2961" s="6"/>
      <c r="C2961" s="2040">
        <v>64</v>
      </c>
      <c r="D2961" s="2040">
        <v>49454.351036569802</v>
      </c>
      <c r="E2961" s="2041">
        <v>13864.6015574994</v>
      </c>
      <c r="F2961" s="2042">
        <v>1.0828603372433401</v>
      </c>
      <c r="G2961" s="2043">
        <v>0.29062525399679301</v>
      </c>
    </row>
    <row r="2962" spans="1:7" x14ac:dyDescent="0.25">
      <c r="A2962" s="11" t="s">
        <v>1069</v>
      </c>
      <c r="B2962" s="11"/>
      <c r="C2962" s="2044">
        <v>71</v>
      </c>
      <c r="D2962" s="2044">
        <v>47560.253891949498</v>
      </c>
      <c r="E2962" s="2045">
        <v>13331.6457290818</v>
      </c>
      <c r="F2962" s="2046">
        <v>1.0413868848614001</v>
      </c>
      <c r="G2962" s="2047">
        <v>0.29406384610354402</v>
      </c>
    </row>
    <row r="2963" spans="1:7" x14ac:dyDescent="0.25">
      <c r="A2963" s="6" t="s">
        <v>1073</v>
      </c>
      <c r="B2963" s="6"/>
      <c r="C2963" s="2040">
        <v>61</v>
      </c>
      <c r="D2963" s="2040">
        <v>27002.620138183102</v>
      </c>
      <c r="E2963" s="2041">
        <v>5987.8440243177001</v>
      </c>
      <c r="F2963" s="2042">
        <v>0.59125366598511797</v>
      </c>
      <c r="G2963" s="2043">
        <v>0.13140130011508899</v>
      </c>
    </row>
    <row r="2964" spans="1:7" x14ac:dyDescent="0.25">
      <c r="A2964" s="11" t="s">
        <v>3056</v>
      </c>
      <c r="B2964" s="11"/>
      <c r="C2964" s="2044">
        <v>36</v>
      </c>
      <c r="D2964" s="2044">
        <v>21817.184256338998</v>
      </c>
      <c r="E2964" s="2045">
        <v>11340.3551819862</v>
      </c>
      <c r="F2964" s="2046">
        <v>0.47771253704349598</v>
      </c>
      <c r="G2964" s="2047">
        <v>0.24688935501401199</v>
      </c>
    </row>
    <row r="2965" spans="1:7" x14ac:dyDescent="0.25">
      <c r="A2965" s="6" t="s">
        <v>3060</v>
      </c>
      <c r="B2965" s="6"/>
      <c r="C2965" s="2040">
        <v>35</v>
      </c>
      <c r="D2965" s="2040">
        <v>18319.985721182798</v>
      </c>
      <c r="E2965" s="2041">
        <v>7326.3540334934796</v>
      </c>
      <c r="F2965" s="2042">
        <v>0.401137321601162</v>
      </c>
      <c r="G2965" s="2043">
        <v>0.16190853554905599</v>
      </c>
    </row>
    <row r="2966" spans="1:7" x14ac:dyDescent="0.25">
      <c r="A2966" s="11" t="s">
        <v>3077</v>
      </c>
      <c r="B2966" s="11"/>
      <c r="C2966" s="2044">
        <v>20</v>
      </c>
      <c r="D2966" s="2044">
        <v>18308.792014338102</v>
      </c>
      <c r="E2966" s="2045">
        <v>10748.238926141899</v>
      </c>
      <c r="F2966" s="2046">
        <v>0.40089222241545203</v>
      </c>
      <c r="G2966" s="2047">
        <v>0.23526215947285301</v>
      </c>
    </row>
    <row r="2967" spans="1:7" x14ac:dyDescent="0.25">
      <c r="A2967" s="6" t="s">
        <v>1179</v>
      </c>
      <c r="B2967" s="6"/>
      <c r="C2967" s="2040">
        <v>37</v>
      </c>
      <c r="D2967" s="2040">
        <v>18190.785080644098</v>
      </c>
      <c r="E2967" s="2041">
        <v>8224.5865515686492</v>
      </c>
      <c r="F2967" s="2042">
        <v>0.39830832382334602</v>
      </c>
      <c r="G2967" s="2043">
        <v>0.17848968902260601</v>
      </c>
    </row>
    <row r="2968" spans="1:7" x14ac:dyDescent="0.25">
      <c r="A2968" s="11" t="s">
        <v>3058</v>
      </c>
      <c r="B2968" s="11"/>
      <c r="C2968" s="2044">
        <v>40</v>
      </c>
      <c r="D2968" s="2044">
        <v>15910.303942783399</v>
      </c>
      <c r="E2968" s="2045">
        <v>7398.8500543282798</v>
      </c>
      <c r="F2968" s="2046">
        <v>0.348374546061407</v>
      </c>
      <c r="G2968" s="2047">
        <v>0.162742978331784</v>
      </c>
    </row>
    <row r="2969" spans="1:7" x14ac:dyDescent="0.25">
      <c r="A2969" s="6" t="s">
        <v>1085</v>
      </c>
      <c r="B2969" s="6"/>
      <c r="C2969" s="2040">
        <v>12</v>
      </c>
      <c r="D2969" s="2040">
        <v>15767.117812956199</v>
      </c>
      <c r="E2969" s="2041">
        <v>10999.211602658201</v>
      </c>
      <c r="F2969" s="2042">
        <v>0.34523931978539002</v>
      </c>
      <c r="G2969" s="2043">
        <v>0.240098959839497</v>
      </c>
    </row>
    <row r="2970" spans="1:7" x14ac:dyDescent="0.25">
      <c r="A2970" s="11" t="s">
        <v>1093</v>
      </c>
      <c r="B2970" s="11"/>
      <c r="C2970" s="2044">
        <v>14</v>
      </c>
      <c r="D2970" s="2044">
        <v>15047.4455524155</v>
      </c>
      <c r="E2970" s="2045">
        <v>8637.7568685884107</v>
      </c>
      <c r="F2970" s="2046">
        <v>0.32948126148678902</v>
      </c>
      <c r="G2970" s="2047">
        <v>0.18980906961972799</v>
      </c>
    </row>
    <row r="2971" spans="1:7" x14ac:dyDescent="0.25">
      <c r="A2971" s="6" t="s">
        <v>1079</v>
      </c>
      <c r="B2971" s="6"/>
      <c r="C2971" s="2040">
        <v>24</v>
      </c>
      <c r="D2971" s="2040">
        <v>14031.537820900599</v>
      </c>
      <c r="E2971" s="2041">
        <v>6394.1425783663999</v>
      </c>
      <c r="F2971" s="2042">
        <v>0.30723678419210398</v>
      </c>
      <c r="G2971" s="2043">
        <v>0.13885628385103599</v>
      </c>
    </row>
    <row r="2972" spans="1:7" x14ac:dyDescent="0.25">
      <c r="A2972" s="11" t="s">
        <v>1083</v>
      </c>
      <c r="B2972" s="11"/>
      <c r="C2972" s="2044">
        <v>9</v>
      </c>
      <c r="D2972" s="2044">
        <v>13029.202497373</v>
      </c>
      <c r="E2972" s="2045">
        <v>7295.1746272774999</v>
      </c>
      <c r="F2972" s="2046">
        <v>0.28528949050174002</v>
      </c>
      <c r="G2972" s="2047">
        <v>0.15965004905104399</v>
      </c>
    </row>
    <row r="2973" spans="1:7" x14ac:dyDescent="0.25">
      <c r="A2973" s="6" t="s">
        <v>3062</v>
      </c>
      <c r="B2973" s="6"/>
      <c r="C2973" s="2040">
        <v>20</v>
      </c>
      <c r="D2973" s="2040">
        <v>10150.325252622601</v>
      </c>
      <c r="E2973" s="2041">
        <v>5242.3713017059399</v>
      </c>
      <c r="F2973" s="2042">
        <v>0.222253136393536</v>
      </c>
      <c r="G2973" s="2043">
        <v>0.11459286213112101</v>
      </c>
    </row>
    <row r="2974" spans="1:7" x14ac:dyDescent="0.25">
      <c r="A2974" s="11" t="s">
        <v>3054</v>
      </c>
      <c r="B2974" s="11"/>
      <c r="C2974" s="2044">
        <v>41</v>
      </c>
      <c r="D2974" s="2044">
        <v>10009.193129895501</v>
      </c>
      <c r="E2974" s="2045">
        <v>3363.41890654802</v>
      </c>
      <c r="F2974" s="2046">
        <v>0.219162884983722</v>
      </c>
      <c r="G2974" s="2047">
        <v>7.4473095166561198E-2</v>
      </c>
    </row>
    <row r="2975" spans="1:7" x14ac:dyDescent="0.25">
      <c r="A2975" s="6" t="s">
        <v>3075</v>
      </c>
      <c r="B2975" s="6"/>
      <c r="C2975" s="2040">
        <v>13</v>
      </c>
      <c r="D2975" s="2040">
        <v>9419.9264321628907</v>
      </c>
      <c r="E2975" s="2041">
        <v>5220.5733123463797</v>
      </c>
      <c r="F2975" s="2042">
        <v>0.20626020763262101</v>
      </c>
      <c r="G2975" s="2043">
        <v>0.114265533163505</v>
      </c>
    </row>
    <row r="2976" spans="1:7" x14ac:dyDescent="0.25">
      <c r="A2976" s="11" t="s">
        <v>1081</v>
      </c>
      <c r="B2976" s="11"/>
      <c r="C2976" s="2044">
        <v>21</v>
      </c>
      <c r="D2976" s="2044">
        <v>8282.9454739405901</v>
      </c>
      <c r="E2976" s="2045">
        <v>4957.5480176650699</v>
      </c>
      <c r="F2976" s="2046">
        <v>0.18136469170623801</v>
      </c>
      <c r="G2976" s="2047">
        <v>0.107309126830485</v>
      </c>
    </row>
    <row r="2977" spans="1:7" x14ac:dyDescent="0.25">
      <c r="A2977" s="6" t="s">
        <v>3089</v>
      </c>
      <c r="B2977" s="6"/>
      <c r="C2977" s="2040">
        <v>15</v>
      </c>
      <c r="D2977" s="2040">
        <v>7506.3892469754001</v>
      </c>
      <c r="E2977" s="2041">
        <v>4039.9294598453198</v>
      </c>
      <c r="F2977" s="2042">
        <v>0.16436109302999299</v>
      </c>
      <c r="G2977" s="2043">
        <v>8.82014398835608E-2</v>
      </c>
    </row>
    <row r="2978" spans="1:7" x14ac:dyDescent="0.25">
      <c r="A2978" s="11" t="s">
        <v>1131</v>
      </c>
      <c r="B2978" s="11"/>
      <c r="C2978" s="2044">
        <v>1</v>
      </c>
      <c r="D2978" s="2044">
        <v>7317.8712554109698</v>
      </c>
      <c r="E2978" s="2045">
        <v>7495.0354358163504</v>
      </c>
      <c r="F2978" s="2046">
        <v>0.160233273098215</v>
      </c>
      <c r="G2978" s="2047">
        <v>0.16414485630209</v>
      </c>
    </row>
    <row r="2979" spans="1:7" x14ac:dyDescent="0.25">
      <c r="A2979" s="6" t="s">
        <v>3085</v>
      </c>
      <c r="B2979" s="6"/>
      <c r="C2979" s="2040">
        <v>8</v>
      </c>
      <c r="D2979" s="2040">
        <v>7117.9708020631797</v>
      </c>
      <c r="E2979" s="2041">
        <v>5692.8711743633803</v>
      </c>
      <c r="F2979" s="2042">
        <v>0.15585622097256499</v>
      </c>
      <c r="G2979" s="2043">
        <v>0.124663683863726</v>
      </c>
    </row>
    <row r="2980" spans="1:7" x14ac:dyDescent="0.25">
      <c r="A2980" s="11" t="s">
        <v>1087</v>
      </c>
      <c r="B2980" s="11"/>
      <c r="C2980" s="2044">
        <v>11</v>
      </c>
      <c r="D2980" s="2044">
        <v>6726.7970653848997</v>
      </c>
      <c r="E2980" s="2045">
        <v>5772.9540770980302</v>
      </c>
      <c r="F2980" s="2046">
        <v>0.14729101860832899</v>
      </c>
      <c r="G2980" s="2047">
        <v>0.12651058173032201</v>
      </c>
    </row>
    <row r="2981" spans="1:7" x14ac:dyDescent="0.25">
      <c r="A2981" s="6" t="s">
        <v>1091</v>
      </c>
      <c r="B2981" s="6"/>
      <c r="C2981" s="2040">
        <v>15</v>
      </c>
      <c r="D2981" s="2040">
        <v>6380.6152549270601</v>
      </c>
      <c r="E2981" s="2041">
        <v>3308.1129422640302</v>
      </c>
      <c r="F2981" s="2042">
        <v>0.13971096661770199</v>
      </c>
      <c r="G2981" s="2043">
        <v>7.1874886428186305E-2</v>
      </c>
    </row>
    <row r="2982" spans="1:7" x14ac:dyDescent="0.25">
      <c r="A2982" s="11" t="s">
        <v>1097</v>
      </c>
      <c r="B2982" s="11"/>
      <c r="C2982" s="2044">
        <v>3</v>
      </c>
      <c r="D2982" s="2044">
        <v>5911.1965157705599</v>
      </c>
      <c r="E2982" s="2045">
        <v>5892.5315141566898</v>
      </c>
      <c r="F2982" s="2046">
        <v>0.12943249923238601</v>
      </c>
      <c r="G2982" s="2047">
        <v>0.12921737276408099</v>
      </c>
    </row>
    <row r="2983" spans="1:7" x14ac:dyDescent="0.25">
      <c r="A2983" s="6" t="s">
        <v>3199</v>
      </c>
      <c r="B2983" s="6"/>
      <c r="C2983" s="2040">
        <v>6</v>
      </c>
      <c r="D2983" s="2040">
        <v>5704.80305726393</v>
      </c>
      <c r="E2983" s="2041">
        <v>4780.2379058769002</v>
      </c>
      <c r="F2983" s="2042">
        <v>0.12491327523290401</v>
      </c>
      <c r="G2983" s="2043">
        <v>0.104376112918476</v>
      </c>
    </row>
    <row r="2984" spans="1:7" x14ac:dyDescent="0.25">
      <c r="A2984" s="11" t="s">
        <v>1105</v>
      </c>
      <c r="B2984" s="11"/>
      <c r="C2984" s="2044">
        <v>1</v>
      </c>
      <c r="D2984" s="2044">
        <v>5686.2646284614002</v>
      </c>
      <c r="E2984" s="2045">
        <v>5715.8830935489104</v>
      </c>
      <c r="F2984" s="2046">
        <v>0.124507354846844</v>
      </c>
      <c r="G2984" s="2047">
        <v>0.12531334522757501</v>
      </c>
    </row>
    <row r="2985" spans="1:7" x14ac:dyDescent="0.25">
      <c r="A2985" s="6" t="s">
        <v>3083</v>
      </c>
      <c r="B2985" s="6"/>
      <c r="C2985" s="2040">
        <v>10</v>
      </c>
      <c r="D2985" s="2040">
        <v>4158.5212930776697</v>
      </c>
      <c r="E2985" s="2041">
        <v>2000.9094913117101</v>
      </c>
      <c r="F2985" s="2042">
        <v>9.1055643749643506E-2</v>
      </c>
      <c r="G2985" s="2043">
        <v>4.3636429328096298E-2</v>
      </c>
    </row>
    <row r="2986" spans="1:7" x14ac:dyDescent="0.25">
      <c r="A2986" s="11" t="s">
        <v>1185</v>
      </c>
      <c r="B2986" s="11"/>
      <c r="C2986" s="2044">
        <v>8</v>
      </c>
      <c r="D2986" s="2044">
        <v>3751.7339813272501</v>
      </c>
      <c r="E2986" s="2045">
        <v>3067.1194819175798</v>
      </c>
      <c r="F2986" s="2046">
        <v>8.2148564061899798E-2</v>
      </c>
      <c r="G2986" s="2047">
        <v>6.7488902211276194E-2</v>
      </c>
    </row>
    <row r="2987" spans="1:7" x14ac:dyDescent="0.25">
      <c r="A2987" s="6" t="s">
        <v>1077</v>
      </c>
      <c r="B2987" s="6"/>
      <c r="C2987" s="2040">
        <v>17</v>
      </c>
      <c r="D2987" s="2040">
        <v>3686.7284037793202</v>
      </c>
      <c r="E2987" s="2041">
        <v>2002.38818458827</v>
      </c>
      <c r="F2987" s="2042">
        <v>8.0725191595153803E-2</v>
      </c>
      <c r="G2987" s="2043">
        <v>4.3463966860804802E-2</v>
      </c>
    </row>
    <row r="2988" spans="1:7" x14ac:dyDescent="0.25">
      <c r="A2988" s="11" t="s">
        <v>1181</v>
      </c>
      <c r="B2988" s="11"/>
      <c r="C2988" s="2044">
        <v>9</v>
      </c>
      <c r="D2988" s="2044">
        <v>3090.6114000416801</v>
      </c>
      <c r="E2988" s="2045">
        <v>2086.4916268970801</v>
      </c>
      <c r="F2988" s="2046">
        <v>6.7672518854053607E-2</v>
      </c>
      <c r="G2988" s="2047">
        <v>4.5822407571511001E-2</v>
      </c>
    </row>
    <row r="2989" spans="1:7" x14ac:dyDescent="0.25">
      <c r="A2989" s="6" t="s">
        <v>3210</v>
      </c>
      <c r="B2989" s="6"/>
      <c r="C2989" s="2040">
        <v>4</v>
      </c>
      <c r="D2989" s="2040">
        <v>2871.2373083326602</v>
      </c>
      <c r="E2989" s="2041">
        <v>1999.1540891182301</v>
      </c>
      <c r="F2989" s="2042">
        <v>6.2869068845078202E-2</v>
      </c>
      <c r="G2989" s="2043">
        <v>4.3761144336924303E-2</v>
      </c>
    </row>
    <row r="2990" spans="1:7" x14ac:dyDescent="0.25">
      <c r="A2990" s="11" t="s">
        <v>3073</v>
      </c>
      <c r="B2990" s="11"/>
      <c r="C2990" s="2044">
        <v>9</v>
      </c>
      <c r="D2990" s="2044">
        <v>2678.2474447480399</v>
      </c>
      <c r="E2990" s="2045">
        <v>1556.1359969583</v>
      </c>
      <c r="F2990" s="2046">
        <v>5.8643332092183503E-2</v>
      </c>
      <c r="G2990" s="2047">
        <v>3.3959211434945798E-2</v>
      </c>
    </row>
    <row r="2991" spans="1:7" x14ac:dyDescent="0.25">
      <c r="A2991" s="6" t="s">
        <v>3069</v>
      </c>
      <c r="B2991" s="6"/>
      <c r="C2991" s="2040">
        <v>13</v>
      </c>
      <c r="D2991" s="2040">
        <v>2115.2438219177998</v>
      </c>
      <c r="E2991" s="2041">
        <v>1262.8325522775699</v>
      </c>
      <c r="F2991" s="2042">
        <v>4.6315715206940201E-2</v>
      </c>
      <c r="G2991" s="2043">
        <v>2.7489342480857701E-2</v>
      </c>
    </row>
    <row r="2992" spans="1:7" x14ac:dyDescent="0.25">
      <c r="A2992" s="11" t="s">
        <v>1183</v>
      </c>
      <c r="B2992" s="11"/>
      <c r="C2992" s="2044">
        <v>11</v>
      </c>
      <c r="D2992" s="2044">
        <v>2113.3248203675498</v>
      </c>
      <c r="E2992" s="2045">
        <v>1541.58198451464</v>
      </c>
      <c r="F2992" s="2046">
        <v>4.6273696443730701E-2</v>
      </c>
      <c r="G2992" s="2047">
        <v>3.3790190271564498E-2</v>
      </c>
    </row>
    <row r="2993" spans="1:7" x14ac:dyDescent="0.25">
      <c r="A2993" s="6" t="s">
        <v>1103</v>
      </c>
      <c r="B2993" s="6"/>
      <c r="C2993" s="2040">
        <v>5</v>
      </c>
      <c r="D2993" s="2040">
        <v>1592.00008137134</v>
      </c>
      <c r="E2993" s="2041">
        <v>1596.12917873232</v>
      </c>
      <c r="F2993" s="2042">
        <v>3.4858687028981997E-2</v>
      </c>
      <c r="G2993" s="2043">
        <v>3.5069173371146199E-2</v>
      </c>
    </row>
    <row r="2994" spans="1:7" x14ac:dyDescent="0.25">
      <c r="A2994" s="11" t="s">
        <v>1101</v>
      </c>
      <c r="B2994" s="11"/>
      <c r="C2994" s="2044">
        <v>5</v>
      </c>
      <c r="D2994" s="2044">
        <v>1431.31781182445</v>
      </c>
      <c r="E2994" s="2045">
        <v>1065.1423091131501</v>
      </c>
      <c r="F2994" s="2046">
        <v>3.1340362494465097E-2</v>
      </c>
      <c r="G2994" s="2047">
        <v>2.3282149521573901E-2</v>
      </c>
    </row>
    <row r="2995" spans="1:7" x14ac:dyDescent="0.25">
      <c r="A2995" s="6" t="s">
        <v>3071</v>
      </c>
      <c r="B2995" s="6"/>
      <c r="C2995" s="2040">
        <v>10</v>
      </c>
      <c r="D2995" s="2040">
        <v>1179.54515019977</v>
      </c>
      <c r="E2995" s="2041">
        <v>397.49713388101799</v>
      </c>
      <c r="F2995" s="2042">
        <v>2.5827508244816898E-2</v>
      </c>
      <c r="G2995" s="2043">
        <v>8.7682360363976995E-3</v>
      </c>
    </row>
    <row r="2996" spans="1:7" x14ac:dyDescent="0.25">
      <c r="A2996" s="11" t="s">
        <v>6457</v>
      </c>
      <c r="B2996" s="11"/>
      <c r="C2996" s="2044">
        <v>2</v>
      </c>
      <c r="D2996" s="2044">
        <v>1152.59472370138</v>
      </c>
      <c r="E2996" s="2045">
        <v>1145.6821316385001</v>
      </c>
      <c r="F2996" s="2046">
        <v>2.5237397419071401E-2</v>
      </c>
      <c r="G2996" s="2047">
        <v>2.5104320330594398E-2</v>
      </c>
    </row>
    <row r="2997" spans="1:7" x14ac:dyDescent="0.25">
      <c r="A2997" s="6" t="s">
        <v>1095</v>
      </c>
      <c r="B2997" s="6"/>
      <c r="C2997" s="2040">
        <v>7</v>
      </c>
      <c r="D2997" s="2040">
        <v>1077.43465634566</v>
      </c>
      <c r="E2997" s="2041">
        <v>596.61366823119795</v>
      </c>
      <c r="F2997" s="2042">
        <v>2.3591680628169201E-2</v>
      </c>
      <c r="G2997" s="2043">
        <v>1.30224575338941E-2</v>
      </c>
    </row>
    <row r="2998" spans="1:7" x14ac:dyDescent="0.25">
      <c r="A2998" s="11" t="s">
        <v>1099</v>
      </c>
      <c r="B2998" s="11"/>
      <c r="C2998" s="2044">
        <v>5</v>
      </c>
      <c r="D2998" s="2044">
        <v>507.819686128255</v>
      </c>
      <c r="E2998" s="2045">
        <v>319.70037226249599</v>
      </c>
      <c r="F2998" s="2046">
        <v>1.11193006288369E-2</v>
      </c>
      <c r="G2998" s="2047">
        <v>7.0096177729378501E-3</v>
      </c>
    </row>
    <row r="2999" spans="1:7" x14ac:dyDescent="0.25">
      <c r="A2999" s="6" t="s">
        <v>1089</v>
      </c>
      <c r="B2999" s="6"/>
      <c r="C2999" s="2040">
        <v>4</v>
      </c>
      <c r="D2999" s="2040">
        <v>471.34681211721602</v>
      </c>
      <c r="E2999" s="2041">
        <v>367.45578729547202</v>
      </c>
      <c r="F2999" s="2042">
        <v>1.0320684777571899E-2</v>
      </c>
      <c r="G2999" s="2043">
        <v>8.0641145631810598E-3</v>
      </c>
    </row>
    <row r="3000" spans="1:7" x14ac:dyDescent="0.25">
      <c r="A3000" s="11" t="s">
        <v>3087</v>
      </c>
      <c r="B3000" s="11"/>
      <c r="C3000" s="2044">
        <v>7</v>
      </c>
      <c r="D3000" s="2044">
        <v>316.4807099491</v>
      </c>
      <c r="E3000" s="2045">
        <v>208.631679587636</v>
      </c>
      <c r="F3000" s="2046">
        <v>6.92971196918703E-3</v>
      </c>
      <c r="G3000" s="2047">
        <v>4.5551314023294601E-3</v>
      </c>
    </row>
    <row r="3001" spans="1:7" x14ac:dyDescent="0.25">
      <c r="A3001" s="6" t="s">
        <v>3201</v>
      </c>
      <c r="B3001" s="6"/>
      <c r="C3001" s="2040">
        <v>2</v>
      </c>
      <c r="D3001" s="2040">
        <v>273.77463018450902</v>
      </c>
      <c r="E3001" s="2041">
        <v>272.73767516526499</v>
      </c>
      <c r="F3001" s="2042">
        <v>5.9946128531956E-3</v>
      </c>
      <c r="G3001" s="2043">
        <v>5.9929308014324504E-3</v>
      </c>
    </row>
    <row r="3002" spans="1:7" x14ac:dyDescent="0.25">
      <c r="A3002" s="11" t="s">
        <v>3097</v>
      </c>
      <c r="B3002" s="11"/>
      <c r="C3002" s="2044">
        <v>4</v>
      </c>
      <c r="D3002" s="2044">
        <v>213.786179190664</v>
      </c>
      <c r="E3002" s="2045">
        <v>149.659934127778</v>
      </c>
      <c r="F3002" s="2046">
        <v>4.6810961875767198E-3</v>
      </c>
      <c r="G3002" s="2047">
        <v>3.2740477083259001E-3</v>
      </c>
    </row>
    <row r="3003" spans="1:7" x14ac:dyDescent="0.25">
      <c r="A3003" s="6" t="s">
        <v>1187</v>
      </c>
      <c r="B3003" s="6"/>
      <c r="C3003" s="2040">
        <v>2</v>
      </c>
      <c r="D3003" s="2040">
        <v>191.86900388903601</v>
      </c>
      <c r="E3003" s="2041">
        <v>148.04338758343599</v>
      </c>
      <c r="F3003" s="2042">
        <v>4.2011942306995204E-3</v>
      </c>
      <c r="G3003" s="2043">
        <v>3.2498259784967398E-3</v>
      </c>
    </row>
    <row r="3004" spans="1:7" x14ac:dyDescent="0.25">
      <c r="A3004" s="11" t="s">
        <v>1191</v>
      </c>
      <c r="B3004" s="11"/>
      <c r="C3004" s="2044">
        <v>3</v>
      </c>
      <c r="D3004" s="2044">
        <v>165.85237025254901</v>
      </c>
      <c r="E3004" s="2045">
        <v>115.177585431983</v>
      </c>
      <c r="F3004" s="2046">
        <v>3.6315298820012499E-3</v>
      </c>
      <c r="G3004" s="2047">
        <v>2.5188392245375502E-3</v>
      </c>
    </row>
    <row r="3005" spans="1:7" x14ac:dyDescent="0.25">
      <c r="A3005" s="6" t="s">
        <v>1109</v>
      </c>
      <c r="B3005" s="6"/>
      <c r="C3005" s="2040">
        <v>1</v>
      </c>
      <c r="D3005" s="2040">
        <v>139.041048998284</v>
      </c>
      <c r="E3005" s="2041">
        <v>142.118574020859</v>
      </c>
      <c r="F3005" s="2042">
        <v>3.0444649268092602E-3</v>
      </c>
      <c r="G3005" s="2043">
        <v>3.1165111580616599E-3</v>
      </c>
    </row>
    <row r="3006" spans="1:7" x14ac:dyDescent="0.25">
      <c r="A3006" s="11" t="s">
        <v>3208</v>
      </c>
      <c r="B3006" s="11"/>
      <c r="C3006" s="2044">
        <v>2</v>
      </c>
      <c r="D3006" s="2044">
        <v>129.99957694663999</v>
      </c>
      <c r="E3006" s="2045">
        <v>130.42034585731301</v>
      </c>
      <c r="F3006" s="2046">
        <v>2.8464914164950802E-3</v>
      </c>
      <c r="G3006" s="2047">
        <v>2.8584280773182799E-3</v>
      </c>
    </row>
    <row r="3007" spans="1:7" x14ac:dyDescent="0.25">
      <c r="A3007" s="6" t="s">
        <v>3091</v>
      </c>
      <c r="B3007" s="6"/>
      <c r="C3007" s="2040">
        <v>6</v>
      </c>
      <c r="D3007" s="2040">
        <v>119.26975219834701</v>
      </c>
      <c r="E3007" s="2041">
        <v>57.112573343757902</v>
      </c>
      <c r="F3007" s="2042">
        <v>2.6115494669605001E-3</v>
      </c>
      <c r="G3007" s="2043">
        <v>1.2460635040319099E-3</v>
      </c>
    </row>
    <row r="3008" spans="1:7" x14ac:dyDescent="0.25">
      <c r="A3008" s="11" t="s">
        <v>1119</v>
      </c>
      <c r="B3008" s="11"/>
      <c r="C3008" s="2044">
        <v>1</v>
      </c>
      <c r="D3008" s="2044">
        <v>97.028409665953106</v>
      </c>
      <c r="E3008" s="2045">
        <v>104.515123163813</v>
      </c>
      <c r="F3008" s="2046">
        <v>2.1245494928315801E-3</v>
      </c>
      <c r="G3008" s="2047">
        <v>2.28754338178663E-3</v>
      </c>
    </row>
    <row r="3009" spans="1:7" x14ac:dyDescent="0.25">
      <c r="A3009" s="6" t="s">
        <v>1189</v>
      </c>
      <c r="B3009" s="6"/>
      <c r="C3009" s="2040">
        <v>2</v>
      </c>
      <c r="D3009" s="2040">
        <v>90.872832527846398</v>
      </c>
      <c r="E3009" s="2041">
        <v>62.667654337318197</v>
      </c>
      <c r="F3009" s="2042">
        <v>1.98976599661769E-3</v>
      </c>
      <c r="G3009" s="2043">
        <v>1.37094030682423E-3</v>
      </c>
    </row>
    <row r="3010" spans="1:7" x14ac:dyDescent="0.25">
      <c r="A3010" s="11" t="s">
        <v>3099</v>
      </c>
      <c r="B3010" s="11"/>
      <c r="C3010" s="2044">
        <v>1</v>
      </c>
      <c r="D3010" s="2044">
        <v>76.102117357778596</v>
      </c>
      <c r="E3010" s="2045">
        <v>77.939615019455005</v>
      </c>
      <c r="F3010" s="2046">
        <v>1.6663440676036501E-3</v>
      </c>
      <c r="G3010" s="2047">
        <v>1.7111990631172699E-3</v>
      </c>
    </row>
    <row r="3011" spans="1:7" x14ac:dyDescent="0.25">
      <c r="A3011" s="6" t="s">
        <v>3233</v>
      </c>
      <c r="B3011" s="6"/>
      <c r="C3011" s="2040">
        <v>1</v>
      </c>
      <c r="D3011" s="2040">
        <v>61.115682553640497</v>
      </c>
      <c r="E3011" s="2041">
        <v>61.3882596096771</v>
      </c>
      <c r="F3011" s="2042">
        <v>1.3381987071664301E-3</v>
      </c>
      <c r="G3011" s="2043">
        <v>1.34441264757152E-3</v>
      </c>
    </row>
    <row r="3012" spans="1:7" x14ac:dyDescent="0.25">
      <c r="A3012" s="11" t="s">
        <v>3231</v>
      </c>
      <c r="B3012" s="11"/>
      <c r="C3012" s="2044">
        <v>1</v>
      </c>
      <c r="D3012" s="2044">
        <v>54.055485616354098</v>
      </c>
      <c r="E3012" s="2045">
        <v>55.485742297463702</v>
      </c>
      <c r="F3012" s="2046">
        <v>1.18360751192739E-3</v>
      </c>
      <c r="G3012" s="2047">
        <v>1.2165007009293501E-3</v>
      </c>
    </row>
    <row r="3013" spans="1:7" x14ac:dyDescent="0.25">
      <c r="A3013" s="6" t="s">
        <v>3220</v>
      </c>
      <c r="B3013" s="6"/>
      <c r="C3013" s="2040">
        <v>1</v>
      </c>
      <c r="D3013" s="2040">
        <v>51.807813980389398</v>
      </c>
      <c r="E3013" s="2041">
        <v>52.818269163851397</v>
      </c>
      <c r="F3013" s="2042">
        <v>1.1343921362381301E-3</v>
      </c>
      <c r="G3013" s="2043">
        <v>1.15755572047243E-3</v>
      </c>
    </row>
    <row r="3014" spans="1:7" x14ac:dyDescent="0.25">
      <c r="A3014" s="11" t="s">
        <v>3229</v>
      </c>
      <c r="B3014" s="11"/>
      <c r="C3014" s="2044">
        <v>1</v>
      </c>
      <c r="D3014" s="2044">
        <v>43.505456254811101</v>
      </c>
      <c r="E3014" s="2045">
        <v>44.408780358695303</v>
      </c>
      <c r="F3014" s="2046">
        <v>9.5260239078203302E-4</v>
      </c>
      <c r="G3014" s="2047">
        <v>9.7303408110881401E-4</v>
      </c>
    </row>
    <row r="3015" spans="1:7" x14ac:dyDescent="0.25">
      <c r="A3015" s="6" t="s">
        <v>978</v>
      </c>
      <c r="B3015" s="6" t="s">
        <v>979</v>
      </c>
      <c r="C3015" s="2040">
        <v>19</v>
      </c>
      <c r="D3015" s="2040">
        <v>11456.1374729126</v>
      </c>
      <c r="E3015" s="2041">
        <v>5093.5609287062698</v>
      </c>
      <c r="F3015" s="2042">
        <v>83.266277071351396</v>
      </c>
      <c r="G3015" s="2043">
        <v>11.605350252021999</v>
      </c>
    </row>
    <row r="3016" spans="1:7" x14ac:dyDescent="0.25">
      <c r="A3016" s="11" t="s">
        <v>980</v>
      </c>
      <c r="B3016" s="11" t="s">
        <v>981</v>
      </c>
      <c r="C3016" s="2044">
        <v>10</v>
      </c>
      <c r="D3016" s="2044">
        <v>2302.2985660804302</v>
      </c>
      <c r="E3016" s="2045">
        <v>1450.4511261504199</v>
      </c>
      <c r="F3016" s="2046">
        <v>16.7337229286486</v>
      </c>
      <c r="G3016" s="2047">
        <v>11.605350252021999</v>
      </c>
    </row>
    <row r="3017" spans="1:7" x14ac:dyDescent="0.25">
      <c r="A3017" s="6" t="s">
        <v>6293</v>
      </c>
      <c r="B3017" s="6" t="s">
        <v>6294</v>
      </c>
      <c r="C3017" s="2040">
        <v>6155</v>
      </c>
      <c r="D3017" s="2040">
        <v>4567011.0295540597</v>
      </c>
      <c r="E3017" s="2041">
        <v>75045.251183751199</v>
      </c>
      <c r="F3017" s="2042">
        <v>99.699647927224106</v>
      </c>
      <c r="G3017" s="2043">
        <v>0.11918199848995201</v>
      </c>
    </row>
    <row r="3018" spans="1:7" x14ac:dyDescent="0.25">
      <c r="A3018" s="11" t="s">
        <v>6293</v>
      </c>
      <c r="B3018" s="11" t="s">
        <v>6295</v>
      </c>
      <c r="C3018" s="2044">
        <v>6184</v>
      </c>
      <c r="D3018" s="2044">
        <v>4580769.4655930502</v>
      </c>
      <c r="E3018" s="2045">
        <v>0</v>
      </c>
      <c r="F3018" s="2046">
        <v>100</v>
      </c>
      <c r="G3018" s="2047">
        <v>0</v>
      </c>
    </row>
    <row r="3019" spans="1:7" x14ac:dyDescent="0.25">
      <c r="A3019" s="3353" t="s">
        <v>380</v>
      </c>
      <c r="B3019" s="3354"/>
      <c r="C3019" s="3354"/>
      <c r="D3019" s="3354"/>
      <c r="E3019" s="3354"/>
      <c r="F3019" s="3354"/>
      <c r="G3019" s="3354"/>
    </row>
    <row r="3020" spans="1:7" x14ac:dyDescent="0.25">
      <c r="A3020" s="11" t="s">
        <v>1021</v>
      </c>
      <c r="B3020" s="11" t="s">
        <v>3157</v>
      </c>
      <c r="C3020" s="2052">
        <v>915</v>
      </c>
      <c r="D3020" s="2052">
        <v>726378.19949106895</v>
      </c>
      <c r="E3020" s="2053">
        <v>54743.239080201201</v>
      </c>
      <c r="F3020" s="2054">
        <v>15.952518435389599</v>
      </c>
      <c r="G3020" s="2055">
        <v>1.1219238150150299</v>
      </c>
    </row>
    <row r="3021" spans="1:7" x14ac:dyDescent="0.25">
      <c r="A3021" s="6" t="s">
        <v>3091</v>
      </c>
      <c r="B3021" s="6" t="s">
        <v>3189</v>
      </c>
      <c r="C3021" s="2048">
        <v>793</v>
      </c>
      <c r="D3021" s="2048">
        <v>571050.74348051799</v>
      </c>
      <c r="E3021" s="2049">
        <v>57177.231541826797</v>
      </c>
      <c r="F3021" s="2050">
        <v>12.541259524719401</v>
      </c>
      <c r="G3021" s="2051">
        <v>1.26638849839523</v>
      </c>
    </row>
    <row r="3022" spans="1:7" x14ac:dyDescent="0.25">
      <c r="A3022" s="11" t="s">
        <v>1177</v>
      </c>
      <c r="B3022" s="11" t="s">
        <v>3162</v>
      </c>
      <c r="C3022" s="2052">
        <v>770</v>
      </c>
      <c r="D3022" s="2052">
        <v>539899.72820466303</v>
      </c>
      <c r="E3022" s="2053">
        <v>60940.800597802503</v>
      </c>
      <c r="F3022" s="2054">
        <v>11.8571294863766</v>
      </c>
      <c r="G3022" s="2055">
        <v>1.27086792652059</v>
      </c>
    </row>
    <row r="3023" spans="1:7" x14ac:dyDescent="0.25">
      <c r="A3023" s="6" t="s">
        <v>3073</v>
      </c>
      <c r="B3023" s="6" t="s">
        <v>3177</v>
      </c>
      <c r="C3023" s="2048">
        <v>496</v>
      </c>
      <c r="D3023" s="2048">
        <v>426615.402674485</v>
      </c>
      <c r="E3023" s="2049">
        <v>31983.925747900201</v>
      </c>
      <c r="F3023" s="2050">
        <v>9.3692102554208905</v>
      </c>
      <c r="G3023" s="2051">
        <v>0.74552002896680003</v>
      </c>
    </row>
    <row r="3024" spans="1:7" x14ac:dyDescent="0.25">
      <c r="A3024" s="11" t="s">
        <v>3069</v>
      </c>
      <c r="B3024" s="11" t="s">
        <v>3175</v>
      </c>
      <c r="C3024" s="2052">
        <v>302</v>
      </c>
      <c r="D3024" s="2052">
        <v>336841.53850537702</v>
      </c>
      <c r="E3024" s="2053">
        <v>38179.9116860984</v>
      </c>
      <c r="F3024" s="2054">
        <v>7.3976213170727103</v>
      </c>
      <c r="G3024" s="2055">
        <v>0.83202052551727201</v>
      </c>
    </row>
    <row r="3025" spans="1:7" x14ac:dyDescent="0.25">
      <c r="A3025" s="6" t="s">
        <v>1003</v>
      </c>
      <c r="B3025" s="6" t="s">
        <v>3153</v>
      </c>
      <c r="C3025" s="2048">
        <v>402</v>
      </c>
      <c r="D3025" s="2048">
        <v>242590.57609894601</v>
      </c>
      <c r="E3025" s="2049">
        <v>29988.3298547575</v>
      </c>
      <c r="F3025" s="2050">
        <v>5.3277075773772697</v>
      </c>
      <c r="G3025" s="2051">
        <v>0.66501387678093504</v>
      </c>
    </row>
    <row r="3026" spans="1:7" x14ac:dyDescent="0.25">
      <c r="A3026" s="11" t="s">
        <v>3097</v>
      </c>
      <c r="B3026" s="11" t="s">
        <v>3195</v>
      </c>
      <c r="C3026" s="2052">
        <v>189</v>
      </c>
      <c r="D3026" s="2052">
        <v>153475.647425401</v>
      </c>
      <c r="E3026" s="2053">
        <v>16795.688322518501</v>
      </c>
      <c r="F3026" s="2054">
        <v>3.3705899993315702</v>
      </c>
      <c r="G3026" s="2055">
        <v>0.35356685678496602</v>
      </c>
    </row>
    <row r="3027" spans="1:7" x14ac:dyDescent="0.25">
      <c r="A3027" s="6" t="s">
        <v>1073</v>
      </c>
      <c r="B3027" s="6" t="s">
        <v>3165</v>
      </c>
      <c r="C3027" s="2048">
        <v>195</v>
      </c>
      <c r="D3027" s="2048">
        <v>130435.80011245</v>
      </c>
      <c r="E3027" s="2049">
        <v>20412.992042385798</v>
      </c>
      <c r="F3027" s="2050">
        <v>2.8645952031414601</v>
      </c>
      <c r="G3027" s="2051">
        <v>0.46252685935589399</v>
      </c>
    </row>
    <row r="3028" spans="1:7" x14ac:dyDescent="0.25">
      <c r="A3028" s="11" t="s">
        <v>986</v>
      </c>
      <c r="B3028" s="11" t="s">
        <v>3150</v>
      </c>
      <c r="C3028" s="2052">
        <v>242</v>
      </c>
      <c r="D3028" s="2052">
        <v>119035.53478464299</v>
      </c>
      <c r="E3028" s="2053">
        <v>21733.578514717999</v>
      </c>
      <c r="F3028" s="2054">
        <v>2.6142257083829499</v>
      </c>
      <c r="G3028" s="2055">
        <v>0.46243424162561397</v>
      </c>
    </row>
    <row r="3029" spans="1:7" x14ac:dyDescent="0.25">
      <c r="A3029" s="6" t="s">
        <v>1105</v>
      </c>
      <c r="B3029" s="6" t="s">
        <v>3206</v>
      </c>
      <c r="C3029" s="2048">
        <v>128</v>
      </c>
      <c r="D3029" s="2048">
        <v>111373.863249598</v>
      </c>
      <c r="E3029" s="2049">
        <v>19800.942034158699</v>
      </c>
      <c r="F3029" s="2050">
        <v>2.4459621832739402</v>
      </c>
      <c r="G3029" s="2051">
        <v>0.41613045891849698</v>
      </c>
    </row>
    <row r="3030" spans="1:7" x14ac:dyDescent="0.25">
      <c r="A3030" s="11" t="s">
        <v>1179</v>
      </c>
      <c r="B3030" s="11" t="s">
        <v>3170</v>
      </c>
      <c r="C3030" s="2052">
        <v>98</v>
      </c>
      <c r="D3030" s="2052">
        <v>93447.819821385405</v>
      </c>
      <c r="E3030" s="2053">
        <v>13578.071078540699</v>
      </c>
      <c r="F3030" s="2054">
        <v>2.0522753429165199</v>
      </c>
      <c r="G3030" s="2055">
        <v>0.293175428715025</v>
      </c>
    </row>
    <row r="3031" spans="1:7" x14ac:dyDescent="0.25">
      <c r="A3031" s="6" t="s">
        <v>1033</v>
      </c>
      <c r="B3031" s="6" t="s">
        <v>3160</v>
      </c>
      <c r="C3031" s="2048">
        <v>111</v>
      </c>
      <c r="D3031" s="2048">
        <v>91749.778063958205</v>
      </c>
      <c r="E3031" s="2049">
        <v>21788.0786630072</v>
      </c>
      <c r="F3031" s="2050">
        <v>2.0149834163989002</v>
      </c>
      <c r="G3031" s="2051">
        <v>0.488166166914487</v>
      </c>
    </row>
    <row r="3032" spans="1:7" x14ac:dyDescent="0.25">
      <c r="A3032" s="11" t="s">
        <v>994</v>
      </c>
      <c r="B3032" s="11" t="s">
        <v>3152</v>
      </c>
      <c r="C3032" s="2052">
        <v>126</v>
      </c>
      <c r="D3032" s="2052">
        <v>83917.271227384699</v>
      </c>
      <c r="E3032" s="2053">
        <v>18066.848907928299</v>
      </c>
      <c r="F3032" s="2054">
        <v>1.8429680533369399</v>
      </c>
      <c r="G3032" s="2055">
        <v>0.40254418449955598</v>
      </c>
    </row>
    <row r="3033" spans="1:7" x14ac:dyDescent="0.25">
      <c r="A3033" s="6" t="s">
        <v>1085</v>
      </c>
      <c r="B3033" s="6" t="s">
        <v>3181</v>
      </c>
      <c r="C3033" s="2048">
        <v>88</v>
      </c>
      <c r="D3033" s="2048">
        <v>67207.786431740999</v>
      </c>
      <c r="E3033" s="2049">
        <v>10574.7786601978</v>
      </c>
      <c r="F3033" s="2050">
        <v>1.47599893940272</v>
      </c>
      <c r="G3033" s="2051">
        <v>0.23114687015642499</v>
      </c>
    </row>
    <row r="3034" spans="1:7" x14ac:dyDescent="0.25">
      <c r="A3034" s="11" t="s">
        <v>3089</v>
      </c>
      <c r="B3034" s="11" t="s">
        <v>3188</v>
      </c>
      <c r="C3034" s="2052">
        <v>122</v>
      </c>
      <c r="D3034" s="2052">
        <v>66631.545645714301</v>
      </c>
      <c r="E3034" s="2053">
        <v>13178.5824768072</v>
      </c>
      <c r="F3034" s="2054">
        <v>1.4633436975896299</v>
      </c>
      <c r="G3034" s="2055">
        <v>0.29617683099881698</v>
      </c>
    </row>
    <row r="3035" spans="1:7" x14ac:dyDescent="0.25">
      <c r="A3035" s="6" t="s">
        <v>3201</v>
      </c>
      <c r="B3035" s="6" t="s">
        <v>3202</v>
      </c>
      <c r="C3035" s="2048">
        <v>78</v>
      </c>
      <c r="D3035" s="2048">
        <v>66011.795316989097</v>
      </c>
      <c r="E3035" s="2049">
        <v>15507.203951080501</v>
      </c>
      <c r="F3035" s="2050">
        <v>1.44973291115461</v>
      </c>
      <c r="G3035" s="2051">
        <v>0.338453988420305</v>
      </c>
    </row>
    <row r="3036" spans="1:7" x14ac:dyDescent="0.25">
      <c r="A3036" s="11" t="s">
        <v>1035</v>
      </c>
      <c r="B3036" s="11" t="s">
        <v>3161</v>
      </c>
      <c r="C3036" s="2052">
        <v>61</v>
      </c>
      <c r="D3036" s="2052">
        <v>58678.490247513197</v>
      </c>
      <c r="E3036" s="2053">
        <v>13728.6660296598</v>
      </c>
      <c r="F3036" s="2054">
        <v>1.28868088013948</v>
      </c>
      <c r="G3036" s="2055">
        <v>0.30069542623165901</v>
      </c>
    </row>
    <row r="3037" spans="1:7" x14ac:dyDescent="0.25">
      <c r="A3037" s="6" t="s">
        <v>1083</v>
      </c>
      <c r="B3037" s="6" t="s">
        <v>3174</v>
      </c>
      <c r="C3037" s="2048">
        <v>70</v>
      </c>
      <c r="D3037" s="2048">
        <v>58171.2918874924</v>
      </c>
      <c r="E3037" s="2049">
        <v>12786.041849077899</v>
      </c>
      <c r="F3037" s="2050">
        <v>1.2775419291160399</v>
      </c>
      <c r="G3037" s="2051">
        <v>0.27801514696532398</v>
      </c>
    </row>
    <row r="3038" spans="1:7" x14ac:dyDescent="0.25">
      <c r="A3038" s="11" t="s">
        <v>1099</v>
      </c>
      <c r="B3038" s="11" t="s">
        <v>3194</v>
      </c>
      <c r="C3038" s="2052">
        <v>34</v>
      </c>
      <c r="D3038" s="2052">
        <v>54853.5189507658</v>
      </c>
      <c r="E3038" s="2053">
        <v>21583.9718334389</v>
      </c>
      <c r="F3038" s="2054">
        <v>1.2046779114807999</v>
      </c>
      <c r="G3038" s="2055">
        <v>0.47615907640212202</v>
      </c>
    </row>
    <row r="3039" spans="1:7" x14ac:dyDescent="0.25">
      <c r="A3039" s="6" t="s">
        <v>1071</v>
      </c>
      <c r="B3039" s="6" t="s">
        <v>3164</v>
      </c>
      <c r="C3039" s="2048">
        <v>58</v>
      </c>
      <c r="D3039" s="2048">
        <v>53520.989748805398</v>
      </c>
      <c r="E3039" s="2049">
        <v>19649.6731082888</v>
      </c>
      <c r="F3039" s="2050">
        <v>1.17541327127703</v>
      </c>
      <c r="G3039" s="2051">
        <v>0.43077508372547602</v>
      </c>
    </row>
    <row r="3040" spans="1:7" x14ac:dyDescent="0.25">
      <c r="A3040" s="11" t="s">
        <v>3244</v>
      </c>
      <c r="B3040" s="11" t="s">
        <v>3245</v>
      </c>
      <c r="C3040" s="2052">
        <v>159</v>
      </c>
      <c r="D3040" s="2052">
        <v>52560.679870337801</v>
      </c>
      <c r="E3040" s="2053">
        <v>13963.304923697</v>
      </c>
      <c r="F3040" s="2054">
        <v>1.1543232095837199</v>
      </c>
      <c r="G3040" s="2055">
        <v>0.30812990172704102</v>
      </c>
    </row>
    <row r="3041" spans="1:7" x14ac:dyDescent="0.25">
      <c r="A3041" s="6" t="s">
        <v>1025</v>
      </c>
      <c r="B3041" s="6" t="s">
        <v>3159</v>
      </c>
      <c r="C3041" s="2048">
        <v>60</v>
      </c>
      <c r="D3041" s="2048">
        <v>50141.942445478802</v>
      </c>
      <c r="E3041" s="2049">
        <v>15583.4020158234</v>
      </c>
      <c r="F3041" s="2050">
        <v>1.10120356283845</v>
      </c>
      <c r="G3041" s="2051">
        <v>0.33949291265145998</v>
      </c>
    </row>
    <row r="3042" spans="1:7" x14ac:dyDescent="0.25">
      <c r="A3042" s="11" t="s">
        <v>1087</v>
      </c>
      <c r="B3042" s="11" t="s">
        <v>3182</v>
      </c>
      <c r="C3042" s="2052">
        <v>60</v>
      </c>
      <c r="D3042" s="2052">
        <v>48547.914446895003</v>
      </c>
      <c r="E3042" s="2053">
        <v>18442.717750158201</v>
      </c>
      <c r="F3042" s="2054">
        <v>1.0661959579134299</v>
      </c>
      <c r="G3042" s="2055">
        <v>0.40914776066543401</v>
      </c>
    </row>
    <row r="3043" spans="1:7" x14ac:dyDescent="0.25">
      <c r="A3043" s="6" t="s">
        <v>1023</v>
      </c>
      <c r="B3043" s="6" t="s">
        <v>3158</v>
      </c>
      <c r="C3043" s="2048">
        <v>48</v>
      </c>
      <c r="D3043" s="2048">
        <v>34739.582833356297</v>
      </c>
      <c r="E3043" s="2049">
        <v>13951.0537597203</v>
      </c>
      <c r="F3043" s="2050">
        <v>0.76294117303512798</v>
      </c>
      <c r="G3043" s="2051">
        <v>0.30140417512919299</v>
      </c>
    </row>
    <row r="3044" spans="1:7" x14ac:dyDescent="0.25">
      <c r="A3044" s="11" t="s">
        <v>1095</v>
      </c>
      <c r="B3044" s="11" t="s">
        <v>3192</v>
      </c>
      <c r="C3044" s="2052">
        <v>31</v>
      </c>
      <c r="D3044" s="2052">
        <v>34019.179612348897</v>
      </c>
      <c r="E3044" s="2053">
        <v>10858.1979419339</v>
      </c>
      <c r="F3044" s="2054">
        <v>0.74711987543549296</v>
      </c>
      <c r="G3044" s="2055">
        <v>0.24082307887881799</v>
      </c>
    </row>
    <row r="3045" spans="1:7" x14ac:dyDescent="0.25">
      <c r="A3045" s="6" t="s">
        <v>3199</v>
      </c>
      <c r="B3045" s="6" t="s">
        <v>3200</v>
      </c>
      <c r="C3045" s="2048">
        <v>28</v>
      </c>
      <c r="D3045" s="2048">
        <v>32590.783581872001</v>
      </c>
      <c r="E3045" s="2049">
        <v>11405.1802982803</v>
      </c>
      <c r="F3045" s="2050">
        <v>0.71574983428450001</v>
      </c>
      <c r="G3045" s="2051">
        <v>0.249188663463316</v>
      </c>
    </row>
    <row r="3046" spans="1:7" x14ac:dyDescent="0.25">
      <c r="A3046" s="11" t="s">
        <v>1111</v>
      </c>
      <c r="B3046" s="11" t="s">
        <v>3216</v>
      </c>
      <c r="C3046" s="2052">
        <v>91</v>
      </c>
      <c r="D3046" s="2052">
        <v>32452.270449639</v>
      </c>
      <c r="E3046" s="2053">
        <v>10673.9938260831</v>
      </c>
      <c r="F3046" s="2054">
        <v>0.71270784693267897</v>
      </c>
      <c r="G3046" s="2055">
        <v>0.233720000864612</v>
      </c>
    </row>
    <row r="3047" spans="1:7" x14ac:dyDescent="0.25">
      <c r="A3047" s="6" t="s">
        <v>1075</v>
      </c>
      <c r="B3047" s="6" t="s">
        <v>3166</v>
      </c>
      <c r="C3047" s="2048">
        <v>39</v>
      </c>
      <c r="D3047" s="2048">
        <v>26758.068104874001</v>
      </c>
      <c r="E3047" s="2049">
        <v>11166.6778864017</v>
      </c>
      <c r="F3047" s="2050">
        <v>0.58765333959291299</v>
      </c>
      <c r="G3047" s="2051">
        <v>0.24099002707223499</v>
      </c>
    </row>
    <row r="3048" spans="1:7" x14ac:dyDescent="0.25">
      <c r="A3048" s="11" t="s">
        <v>1113</v>
      </c>
      <c r="B3048" s="11" t="s">
        <v>3217</v>
      </c>
      <c r="C3048" s="2052">
        <v>37</v>
      </c>
      <c r="D3048" s="2052">
        <v>24503.435400350802</v>
      </c>
      <c r="E3048" s="2053">
        <v>15282.4012095817</v>
      </c>
      <c r="F3048" s="2054">
        <v>0.53813771562575796</v>
      </c>
      <c r="G3048" s="2055">
        <v>0.33525305153769103</v>
      </c>
    </row>
    <row r="3049" spans="1:7" x14ac:dyDescent="0.25">
      <c r="A3049" s="6" t="s">
        <v>3220</v>
      </c>
      <c r="B3049" s="6" t="s">
        <v>3221</v>
      </c>
      <c r="C3049" s="2048">
        <v>36</v>
      </c>
      <c r="D3049" s="2048">
        <v>20108.2296113386</v>
      </c>
      <c r="E3049" s="2049">
        <v>6707.8623740815201</v>
      </c>
      <c r="F3049" s="2050">
        <v>0.44161141372727902</v>
      </c>
      <c r="G3049" s="2051">
        <v>0.145743516075104</v>
      </c>
    </row>
    <row r="3050" spans="1:7" x14ac:dyDescent="0.25">
      <c r="A3050" s="11" t="s">
        <v>1079</v>
      </c>
      <c r="B3050" s="11" t="s">
        <v>3172</v>
      </c>
      <c r="C3050" s="2052">
        <v>23</v>
      </c>
      <c r="D3050" s="2052">
        <v>19235.201263601401</v>
      </c>
      <c r="E3050" s="2053">
        <v>7472.8670042680496</v>
      </c>
      <c r="F3050" s="2054">
        <v>0.42243820503013801</v>
      </c>
      <c r="G3050" s="2055">
        <v>0.16697197484787099</v>
      </c>
    </row>
    <row r="3051" spans="1:7" x14ac:dyDescent="0.25">
      <c r="A3051" s="6" t="s">
        <v>1069</v>
      </c>
      <c r="B3051" s="6" t="s">
        <v>3163</v>
      </c>
      <c r="C3051" s="2048">
        <v>19</v>
      </c>
      <c r="D3051" s="2048">
        <v>13652.906697574201</v>
      </c>
      <c r="E3051" s="2049">
        <v>8685.8474205156399</v>
      </c>
      <c r="F3051" s="2050">
        <v>0.299841385578897</v>
      </c>
      <c r="G3051" s="2051">
        <v>0.19085774119190699</v>
      </c>
    </row>
    <row r="3052" spans="1:7" x14ac:dyDescent="0.25">
      <c r="A3052" s="11" t="s">
        <v>1015</v>
      </c>
      <c r="B3052" s="11" t="s">
        <v>3155</v>
      </c>
      <c r="C3052" s="2052">
        <v>17</v>
      </c>
      <c r="D3052" s="2052">
        <v>12693.734481144</v>
      </c>
      <c r="E3052" s="2053">
        <v>6529.00857892571</v>
      </c>
      <c r="F3052" s="2054">
        <v>0.27877630890666699</v>
      </c>
      <c r="G3052" s="2055">
        <v>0.14489911379002501</v>
      </c>
    </row>
    <row r="3053" spans="1:7" x14ac:dyDescent="0.25">
      <c r="A3053" s="6" t="s">
        <v>3075</v>
      </c>
      <c r="B3053" s="6" t="s">
        <v>3178</v>
      </c>
      <c r="C3053" s="2048">
        <v>13</v>
      </c>
      <c r="D3053" s="2048">
        <v>10845.095359528101</v>
      </c>
      <c r="E3053" s="2049">
        <v>5270.0222575981197</v>
      </c>
      <c r="F3053" s="2050">
        <v>0.238177004455317</v>
      </c>
      <c r="G3053" s="2051">
        <v>0.11665015467779299</v>
      </c>
    </row>
    <row r="3054" spans="1:7" x14ac:dyDescent="0.25">
      <c r="A3054" s="11" t="s">
        <v>1097</v>
      </c>
      <c r="B3054" s="11" t="s">
        <v>3193</v>
      </c>
      <c r="C3054" s="2052">
        <v>43</v>
      </c>
      <c r="D3054" s="2052">
        <v>10553.565799043699</v>
      </c>
      <c r="E3054" s="2053">
        <v>1942.9590254642201</v>
      </c>
      <c r="F3054" s="2054">
        <v>0.23177451234948701</v>
      </c>
      <c r="G3054" s="2055">
        <v>4.12004893497427E-2</v>
      </c>
    </row>
    <row r="3055" spans="1:7" x14ac:dyDescent="0.25">
      <c r="A3055" s="6" t="s">
        <v>1103</v>
      </c>
      <c r="B3055" s="6" t="s">
        <v>3205</v>
      </c>
      <c r="C3055" s="2048">
        <v>11</v>
      </c>
      <c r="D3055" s="2048">
        <v>10498.301133216801</v>
      </c>
      <c r="E3055" s="2049">
        <v>6484.5019657907496</v>
      </c>
      <c r="F3055" s="2050">
        <v>0.23056080494328099</v>
      </c>
      <c r="G3055" s="2051">
        <v>0.14361044574180201</v>
      </c>
    </row>
    <row r="3056" spans="1:7" x14ac:dyDescent="0.25">
      <c r="A3056" s="11" t="s">
        <v>3083</v>
      </c>
      <c r="B3056" s="11" t="s">
        <v>3185</v>
      </c>
      <c r="C3056" s="2052">
        <v>12</v>
      </c>
      <c r="D3056" s="2052">
        <v>10379.727333971899</v>
      </c>
      <c r="E3056" s="2053">
        <v>7803.2153186947799</v>
      </c>
      <c r="F3056" s="2054">
        <v>0.22795671974395501</v>
      </c>
      <c r="G3056" s="2055">
        <v>0.17151351668331999</v>
      </c>
    </row>
    <row r="3057" spans="1:7" x14ac:dyDescent="0.25">
      <c r="A3057" s="6" t="s">
        <v>3071</v>
      </c>
      <c r="B3057" s="6" t="s">
        <v>3176</v>
      </c>
      <c r="C3057" s="2048">
        <v>9</v>
      </c>
      <c r="D3057" s="2048">
        <v>7464.1007560442504</v>
      </c>
      <c r="E3057" s="2049">
        <v>4043.8695952113198</v>
      </c>
      <c r="F3057" s="2050">
        <v>0.16392452994573301</v>
      </c>
      <c r="G3057" s="2051">
        <v>8.9830842266878E-2</v>
      </c>
    </row>
    <row r="3058" spans="1:7" x14ac:dyDescent="0.25">
      <c r="A3058" s="11" t="s">
        <v>3212</v>
      </c>
      <c r="B3058" s="11" t="s">
        <v>3213</v>
      </c>
      <c r="C3058" s="2052">
        <v>13</v>
      </c>
      <c r="D3058" s="2052">
        <v>7138.91591685802</v>
      </c>
      <c r="E3058" s="2053">
        <v>5510.6990387625801</v>
      </c>
      <c r="F3058" s="2054">
        <v>0.15678290985627799</v>
      </c>
      <c r="G3058" s="2055">
        <v>0.12116325167051099</v>
      </c>
    </row>
    <row r="3059" spans="1:7" x14ac:dyDescent="0.25">
      <c r="A3059" s="6" t="s">
        <v>3077</v>
      </c>
      <c r="B3059" s="6" t="s">
        <v>3179</v>
      </c>
      <c r="C3059" s="2048">
        <v>13</v>
      </c>
      <c r="D3059" s="2048">
        <v>7062.2406479589699</v>
      </c>
      <c r="E3059" s="2049">
        <v>3629.5039886075001</v>
      </c>
      <c r="F3059" s="2050">
        <v>0.15509898866824201</v>
      </c>
      <c r="G3059" s="2051">
        <v>8.0235701632854095E-2</v>
      </c>
    </row>
    <row r="3060" spans="1:7" x14ac:dyDescent="0.25">
      <c r="A3060" s="11" t="s">
        <v>3210</v>
      </c>
      <c r="B3060" s="11" t="s">
        <v>3211</v>
      </c>
      <c r="C3060" s="2052">
        <v>10</v>
      </c>
      <c r="D3060" s="2052">
        <v>6141.1955241587202</v>
      </c>
      <c r="E3060" s="2053">
        <v>3921.2474735205501</v>
      </c>
      <c r="F3060" s="2054">
        <v>0.134871248728437</v>
      </c>
      <c r="G3060" s="2055">
        <v>8.7270475559695304E-2</v>
      </c>
    </row>
    <row r="3061" spans="1:7" x14ac:dyDescent="0.25">
      <c r="A3061" s="6" t="s">
        <v>1093</v>
      </c>
      <c r="B3061" s="6" t="s">
        <v>3191</v>
      </c>
      <c r="C3061" s="2048">
        <v>23</v>
      </c>
      <c r="D3061" s="2048">
        <v>5288.2654059680399</v>
      </c>
      <c r="E3061" s="2049">
        <v>1713.88332207804</v>
      </c>
      <c r="F3061" s="2050">
        <v>0.11613943182634801</v>
      </c>
      <c r="G3061" s="2051">
        <v>3.7405654331103502E-2</v>
      </c>
    </row>
    <row r="3062" spans="1:7" x14ac:dyDescent="0.25">
      <c r="A3062" s="11" t="s">
        <v>3222</v>
      </c>
      <c r="B3062" s="11" t="s">
        <v>3223</v>
      </c>
      <c r="C3062" s="2052">
        <v>3</v>
      </c>
      <c r="D3062" s="2052">
        <v>5231.2967489387902</v>
      </c>
      <c r="E3062" s="2053">
        <v>4121.99121767624</v>
      </c>
      <c r="F3062" s="2054">
        <v>0.11488830183354901</v>
      </c>
      <c r="G3062" s="2055">
        <v>9.0779767413824902E-2</v>
      </c>
    </row>
    <row r="3063" spans="1:7" x14ac:dyDescent="0.25">
      <c r="A3063" s="6" t="s">
        <v>1109</v>
      </c>
      <c r="B3063" s="6" t="s">
        <v>3215</v>
      </c>
      <c r="C3063" s="2048">
        <v>3</v>
      </c>
      <c r="D3063" s="2048">
        <v>3708.4365246030702</v>
      </c>
      <c r="E3063" s="2049">
        <v>3312.5037454849298</v>
      </c>
      <c r="F3063" s="2050">
        <v>8.1443664012289793E-2</v>
      </c>
      <c r="G3063" s="2051">
        <v>7.2991834033184599E-2</v>
      </c>
    </row>
    <row r="3064" spans="1:7" x14ac:dyDescent="0.25">
      <c r="A3064" s="11" t="s">
        <v>988</v>
      </c>
      <c r="B3064" s="11" t="s">
        <v>3151</v>
      </c>
      <c r="C3064" s="2052">
        <v>7</v>
      </c>
      <c r="D3064" s="2052">
        <v>3215.67116732967</v>
      </c>
      <c r="E3064" s="2053">
        <v>2373.4285715792298</v>
      </c>
      <c r="F3064" s="2054">
        <v>7.0621686629525601E-2</v>
      </c>
      <c r="G3064" s="2055">
        <v>5.2034985769653201E-2</v>
      </c>
    </row>
    <row r="3065" spans="1:7" x14ac:dyDescent="0.25">
      <c r="A3065" s="6" t="s">
        <v>1123</v>
      </c>
      <c r="B3065" s="6" t="s">
        <v>3228</v>
      </c>
      <c r="C3065" s="2048">
        <v>4</v>
      </c>
      <c r="D3065" s="2048">
        <v>2924.8406880752</v>
      </c>
      <c r="E3065" s="2049">
        <v>2080.8863419857998</v>
      </c>
      <c r="F3065" s="2050">
        <v>6.4234547553585902E-2</v>
      </c>
      <c r="G3065" s="2051">
        <v>4.5937222480965802E-2</v>
      </c>
    </row>
    <row r="3066" spans="1:7" x14ac:dyDescent="0.25">
      <c r="A3066" s="11" t="s">
        <v>3062</v>
      </c>
      <c r="B3066" s="11" t="s">
        <v>3169</v>
      </c>
      <c r="C3066" s="2052">
        <v>3</v>
      </c>
      <c r="D3066" s="2052">
        <v>2810.3840180909701</v>
      </c>
      <c r="E3066" s="2053">
        <v>2374.3092035499799</v>
      </c>
      <c r="F3066" s="2054">
        <v>6.1720881615847198E-2</v>
      </c>
      <c r="G3066" s="2055">
        <v>5.2271481392031902E-2</v>
      </c>
    </row>
    <row r="3067" spans="1:7" x14ac:dyDescent="0.25">
      <c r="A3067" s="6" t="s">
        <v>1183</v>
      </c>
      <c r="B3067" s="6" t="s">
        <v>3190</v>
      </c>
      <c r="C3067" s="2048">
        <v>12</v>
      </c>
      <c r="D3067" s="2048">
        <v>1802.8238327879401</v>
      </c>
      <c r="E3067" s="2049">
        <v>821.03935625277904</v>
      </c>
      <c r="F3067" s="2050">
        <v>3.9593121666453499E-2</v>
      </c>
      <c r="G3067" s="2051">
        <v>1.8223483583025901E-2</v>
      </c>
    </row>
    <row r="3068" spans="1:7" x14ac:dyDescent="0.25">
      <c r="A3068" s="11" t="s">
        <v>3246</v>
      </c>
      <c r="B3068" s="11" t="s">
        <v>3247</v>
      </c>
      <c r="C3068" s="2052">
        <v>11</v>
      </c>
      <c r="D3068" s="2052">
        <v>1616.12492795504</v>
      </c>
      <c r="E3068" s="2053">
        <v>818.24102779993302</v>
      </c>
      <c r="F3068" s="2054">
        <v>3.5492891616459403E-2</v>
      </c>
      <c r="G3068" s="2055">
        <v>1.78627767595602E-2</v>
      </c>
    </row>
    <row r="3069" spans="1:7" x14ac:dyDescent="0.25">
      <c r="A3069" s="6" t="s">
        <v>984</v>
      </c>
      <c r="B3069" s="6" t="s">
        <v>3149</v>
      </c>
      <c r="C3069" s="2048">
        <v>4</v>
      </c>
      <c r="D3069" s="2048">
        <v>1049.0342834687999</v>
      </c>
      <c r="E3069" s="2049">
        <v>982.65950394158494</v>
      </c>
      <c r="F3069" s="2050">
        <v>2.30386026977638E-2</v>
      </c>
      <c r="G3069" s="2051">
        <v>2.1643444673573101E-2</v>
      </c>
    </row>
    <row r="3070" spans="1:7" x14ac:dyDescent="0.25">
      <c r="A3070" s="11" t="s">
        <v>1089</v>
      </c>
      <c r="B3070" s="11" t="s">
        <v>3183</v>
      </c>
      <c r="C3070" s="2052">
        <v>5</v>
      </c>
      <c r="D3070" s="2052">
        <v>944.87195054815299</v>
      </c>
      <c r="E3070" s="2053">
        <v>609.12304645890197</v>
      </c>
      <c r="F3070" s="2054">
        <v>2.0751018162112798E-2</v>
      </c>
      <c r="G3070" s="2055">
        <v>1.33121809900379E-2</v>
      </c>
    </row>
    <row r="3071" spans="1:7" x14ac:dyDescent="0.25">
      <c r="A3071" s="6" t="s">
        <v>1115</v>
      </c>
      <c r="B3071" s="6" t="s">
        <v>3218</v>
      </c>
      <c r="C3071" s="2048">
        <v>2</v>
      </c>
      <c r="D3071" s="2048">
        <v>318.52114601025801</v>
      </c>
      <c r="E3071" s="2049">
        <v>265.30603591379401</v>
      </c>
      <c r="F3071" s="2050">
        <v>6.9952738908604E-3</v>
      </c>
      <c r="G3071" s="2051">
        <v>5.8142218774077502E-3</v>
      </c>
    </row>
    <row r="3072" spans="1:7" x14ac:dyDescent="0.25">
      <c r="A3072" s="11" t="s">
        <v>1125</v>
      </c>
      <c r="B3072" s="11" t="s">
        <v>3240</v>
      </c>
      <c r="C3072" s="2052">
        <v>1</v>
      </c>
      <c r="D3072" s="2052">
        <v>130.17289694279299</v>
      </c>
      <c r="E3072" s="2053">
        <v>131.86748828937101</v>
      </c>
      <c r="F3072" s="2054">
        <v>2.85882139596552E-3</v>
      </c>
      <c r="G3072" s="2055">
        <v>2.8980317245254801E-3</v>
      </c>
    </row>
    <row r="3073" spans="1:7" x14ac:dyDescent="0.25">
      <c r="A3073" s="6" t="s">
        <v>3208</v>
      </c>
      <c r="B3073" s="6" t="s">
        <v>3209</v>
      </c>
      <c r="C3073" s="2048">
        <v>3</v>
      </c>
      <c r="D3073" s="2048">
        <v>123.656712865041</v>
      </c>
      <c r="E3073" s="2049">
        <v>88.069985468422601</v>
      </c>
      <c r="F3073" s="2050">
        <v>2.7157147516560301E-3</v>
      </c>
      <c r="G3073" s="2051">
        <v>1.94221699866619E-3</v>
      </c>
    </row>
    <row r="3074" spans="1:7" x14ac:dyDescent="0.25">
      <c r="A3074" s="11" t="s">
        <v>1187</v>
      </c>
      <c r="B3074" s="11" t="s">
        <v>3214</v>
      </c>
      <c r="C3074" s="2052">
        <v>1</v>
      </c>
      <c r="D3074" s="2052">
        <v>94.424841345927604</v>
      </c>
      <c r="E3074" s="2053">
        <v>94.701620236129202</v>
      </c>
      <c r="F3074" s="2054">
        <v>2.0737324211891799E-3</v>
      </c>
      <c r="G3074" s="2055">
        <v>2.0853370520518802E-3</v>
      </c>
    </row>
    <row r="3075" spans="1:7" x14ac:dyDescent="0.25">
      <c r="A3075" s="6" t="s">
        <v>1185</v>
      </c>
      <c r="B3075" s="6" t="s">
        <v>3203</v>
      </c>
      <c r="C3075" s="2048">
        <v>1</v>
      </c>
      <c r="D3075" s="2048">
        <v>75.485085010625994</v>
      </c>
      <c r="E3075" s="2049">
        <v>75.809392273515698</v>
      </c>
      <c r="F3075" s="2050">
        <v>1.65778269649703E-3</v>
      </c>
      <c r="G3075" s="2051">
        <v>1.668496348814E-3</v>
      </c>
    </row>
    <row r="3076" spans="1:7" x14ac:dyDescent="0.25">
      <c r="A3076" s="11" t="s">
        <v>1119</v>
      </c>
      <c r="B3076" s="11" t="s">
        <v>3226</v>
      </c>
      <c r="C3076" s="2052">
        <v>1</v>
      </c>
      <c r="D3076" s="2052">
        <v>67.933495155801296</v>
      </c>
      <c r="E3076" s="2053">
        <v>70.321372522209302</v>
      </c>
      <c r="F3076" s="2054">
        <v>1.4919367550026499E-3</v>
      </c>
      <c r="G3076" s="2055">
        <v>1.54823553427213E-3</v>
      </c>
    </row>
    <row r="3077" spans="1:7" x14ac:dyDescent="0.25">
      <c r="A3077" s="6" t="s">
        <v>978</v>
      </c>
      <c r="B3077" s="6" t="s">
        <v>979</v>
      </c>
      <c r="C3077" s="2048">
        <v>36</v>
      </c>
      <c r="D3077" s="2048">
        <v>21439.781977122399</v>
      </c>
      <c r="E3077" s="2049">
        <v>9286.5872125692404</v>
      </c>
      <c r="F3077" s="2050">
        <v>78.267005560141101</v>
      </c>
      <c r="G3077" s="2051">
        <v>12.655826314078899</v>
      </c>
    </row>
    <row r="3078" spans="1:7" x14ac:dyDescent="0.25">
      <c r="A3078" s="11" t="s">
        <v>1168</v>
      </c>
      <c r="B3078" s="11" t="s">
        <v>979</v>
      </c>
      <c r="C3078" s="2052">
        <v>15</v>
      </c>
      <c r="D3078" s="2052">
        <v>5953.3472523431001</v>
      </c>
      <c r="E3078" s="2053">
        <v>3041.4969550934102</v>
      </c>
      <c r="F3078" s="2054">
        <v>21.732994439858899</v>
      </c>
      <c r="G3078" s="2055">
        <v>12.655826314078899</v>
      </c>
    </row>
    <row r="3079" spans="1:7" x14ac:dyDescent="0.25">
      <c r="A3079" s="6" t="s">
        <v>6293</v>
      </c>
      <c r="B3079" s="6" t="s">
        <v>6294</v>
      </c>
      <c r="C3079" s="2048">
        <v>6134</v>
      </c>
      <c r="D3079" s="2048">
        <v>4553376.3363635903</v>
      </c>
      <c r="E3079" s="2049">
        <v>76780.371915929107</v>
      </c>
      <c r="F3079" s="2050">
        <v>99.401997209525206</v>
      </c>
      <c r="G3079" s="2051">
        <v>0.216568706211482</v>
      </c>
    </row>
    <row r="3080" spans="1:7" x14ac:dyDescent="0.25">
      <c r="A3080" s="11" t="s">
        <v>6293</v>
      </c>
      <c r="B3080" s="11" t="s">
        <v>6295</v>
      </c>
      <c r="C3080" s="2052">
        <v>6185</v>
      </c>
      <c r="D3080" s="2052">
        <v>4580769.4655930502</v>
      </c>
      <c r="E3080" s="2053">
        <v>0</v>
      </c>
      <c r="F3080" s="2054">
        <v>100</v>
      </c>
      <c r="G3080" s="2055">
        <v>0</v>
      </c>
    </row>
    <row r="3081" spans="1:7" x14ac:dyDescent="0.25">
      <c r="A3081" s="3353" t="s">
        <v>383</v>
      </c>
      <c r="B3081" s="3354"/>
      <c r="C3081" s="3354"/>
      <c r="D3081" s="3354"/>
      <c r="E3081" s="3354"/>
      <c r="F3081" s="3354"/>
      <c r="G3081" s="3354"/>
    </row>
    <row r="3082" spans="1:7" x14ac:dyDescent="0.25">
      <c r="A3082" s="11" t="s">
        <v>982</v>
      </c>
      <c r="B3082" s="11" t="s">
        <v>983</v>
      </c>
      <c r="C3082" s="2060">
        <v>6186</v>
      </c>
      <c r="D3082" s="2060">
        <v>4580769.4655930297</v>
      </c>
      <c r="E3082" s="2061">
        <v>75300.973504315101</v>
      </c>
      <c r="F3082" s="2062">
        <v>100</v>
      </c>
      <c r="G3082" s="2063">
        <v>0</v>
      </c>
    </row>
    <row r="3083" spans="1:7" x14ac:dyDescent="0.25">
      <c r="A3083" s="6" t="s">
        <v>6293</v>
      </c>
      <c r="B3083" s="6" t="s">
        <v>6294</v>
      </c>
      <c r="C3083" s="2056">
        <v>0</v>
      </c>
      <c r="D3083" s="2056">
        <v>0</v>
      </c>
      <c r="E3083" s="2057">
        <v>0</v>
      </c>
      <c r="F3083" s="2058">
        <v>0</v>
      </c>
      <c r="G3083" s="2059">
        <v>0</v>
      </c>
    </row>
    <row r="3084" spans="1:7" x14ac:dyDescent="0.25">
      <c r="A3084" s="11" t="s">
        <v>6293</v>
      </c>
      <c r="B3084" s="11" t="s">
        <v>6295</v>
      </c>
      <c r="C3084" s="2060">
        <v>6186</v>
      </c>
      <c r="D3084" s="2060">
        <v>4580769.4655930297</v>
      </c>
      <c r="E3084" s="2061">
        <v>0</v>
      </c>
      <c r="F3084" s="2062">
        <v>100</v>
      </c>
      <c r="G3084" s="2063">
        <v>0</v>
      </c>
    </row>
    <row r="3085" spans="1:7" x14ac:dyDescent="0.25">
      <c r="A3085" s="3353" t="s">
        <v>401</v>
      </c>
      <c r="B3085" s="3354"/>
      <c r="C3085" s="3354"/>
      <c r="D3085" s="3354"/>
      <c r="E3085" s="3354"/>
      <c r="F3085" s="3354"/>
      <c r="G3085" s="3354"/>
    </row>
    <row r="3086" spans="1:7" x14ac:dyDescent="0.25">
      <c r="A3086" s="11" t="s">
        <v>1168</v>
      </c>
      <c r="B3086" s="11" t="s">
        <v>979</v>
      </c>
      <c r="C3086" s="2068">
        <v>119</v>
      </c>
      <c r="D3086" s="2068">
        <v>42520.4610955838</v>
      </c>
      <c r="E3086" s="2069">
        <v>8952.8787453581808</v>
      </c>
      <c r="F3086" s="2070">
        <v>65.558744686433101</v>
      </c>
      <c r="G3086" s="2071">
        <v>12.80566363598</v>
      </c>
    </row>
    <row r="3087" spans="1:7" x14ac:dyDescent="0.25">
      <c r="A3087" s="6" t="s">
        <v>978</v>
      </c>
      <c r="B3087" s="6" t="s">
        <v>979</v>
      </c>
      <c r="C3087" s="2064">
        <v>31</v>
      </c>
      <c r="D3087" s="2064">
        <v>22338.103995860201</v>
      </c>
      <c r="E3087" s="2065">
        <v>10371.388324048999</v>
      </c>
      <c r="F3087" s="2066">
        <v>34.441255313566899</v>
      </c>
      <c r="G3087" s="2067">
        <v>12.80566363598</v>
      </c>
    </row>
    <row r="3088" spans="1:7" x14ac:dyDescent="0.25">
      <c r="A3088" s="11" t="s">
        <v>6293</v>
      </c>
      <c r="B3088" s="11" t="s">
        <v>6294</v>
      </c>
      <c r="C3088" s="2068">
        <v>5989</v>
      </c>
      <c r="D3088" s="2068">
        <v>4515910.9005016098</v>
      </c>
      <c r="E3088" s="2069">
        <v>74871.612243399097</v>
      </c>
      <c r="F3088" s="2070">
        <v>98.584112001736599</v>
      </c>
      <c r="G3088" s="2071">
        <v>0.275195188409602</v>
      </c>
    </row>
    <row r="3089" spans="1:7" x14ac:dyDescent="0.25">
      <c r="A3089" s="6" t="s">
        <v>6293</v>
      </c>
      <c r="B3089" s="6" t="s">
        <v>6295</v>
      </c>
      <c r="C3089" s="2064">
        <v>6139</v>
      </c>
      <c r="D3089" s="2064">
        <v>4580769.4655930502</v>
      </c>
      <c r="E3089" s="2065">
        <v>0</v>
      </c>
      <c r="F3089" s="2066">
        <v>100</v>
      </c>
      <c r="G3089" s="2067">
        <v>0</v>
      </c>
    </row>
    <row r="3090" spans="1:7" x14ac:dyDescent="0.25">
      <c r="A3090" s="3353" t="s">
        <v>404</v>
      </c>
      <c r="B3090" s="3354"/>
      <c r="C3090" s="3354"/>
      <c r="D3090" s="3354"/>
      <c r="E3090" s="3354"/>
      <c r="F3090" s="3354"/>
      <c r="G3090" s="3354"/>
    </row>
    <row r="3091" spans="1:7" x14ac:dyDescent="0.25">
      <c r="A3091" s="11" t="s">
        <v>982</v>
      </c>
      <c r="B3091" s="11" t="s">
        <v>983</v>
      </c>
      <c r="C3091" s="2076">
        <v>6186</v>
      </c>
      <c r="D3091" s="2076">
        <v>4580769.4655930297</v>
      </c>
      <c r="E3091" s="2077">
        <v>75300.973504315101</v>
      </c>
      <c r="F3091" s="2078">
        <v>100</v>
      </c>
      <c r="G3091" s="2079">
        <v>0</v>
      </c>
    </row>
    <row r="3092" spans="1:7" x14ac:dyDescent="0.25">
      <c r="A3092" s="6" t="s">
        <v>6293</v>
      </c>
      <c r="B3092" s="6" t="s">
        <v>6294</v>
      </c>
      <c r="C3092" s="2072">
        <v>0</v>
      </c>
      <c r="D3092" s="2072">
        <v>0</v>
      </c>
      <c r="E3092" s="2073">
        <v>0</v>
      </c>
      <c r="F3092" s="2074">
        <v>0</v>
      </c>
      <c r="G3092" s="2075">
        <v>0</v>
      </c>
    </row>
    <row r="3093" spans="1:7" x14ac:dyDescent="0.25">
      <c r="A3093" s="11" t="s">
        <v>6293</v>
      </c>
      <c r="B3093" s="11" t="s">
        <v>6295</v>
      </c>
      <c r="C3093" s="2076">
        <v>6186</v>
      </c>
      <c r="D3093" s="2076">
        <v>4580769.4655930297</v>
      </c>
      <c r="E3093" s="2077">
        <v>0</v>
      </c>
      <c r="F3093" s="2078">
        <v>100</v>
      </c>
      <c r="G3093" s="2079">
        <v>0</v>
      </c>
    </row>
    <row r="3094" spans="1:7" x14ac:dyDescent="0.25">
      <c r="A3094" s="3353" t="s">
        <v>195</v>
      </c>
      <c r="B3094" s="3354"/>
      <c r="C3094" s="3354"/>
      <c r="D3094" s="3354"/>
      <c r="E3094" s="3354"/>
      <c r="F3094" s="3354"/>
      <c r="G3094" s="3354"/>
    </row>
    <row r="3095" spans="1:7" x14ac:dyDescent="0.25">
      <c r="A3095" s="11" t="s">
        <v>984</v>
      </c>
      <c r="B3095" s="11" t="s">
        <v>1170</v>
      </c>
      <c r="C3095" s="2084">
        <v>5719</v>
      </c>
      <c r="D3095" s="2084">
        <v>4354176.1331478897</v>
      </c>
      <c r="E3095" s="2085">
        <v>72200.585537425504</v>
      </c>
      <c r="F3095" s="2086">
        <v>95.213057976363999</v>
      </c>
      <c r="G3095" s="2087">
        <v>0.78502539863501297</v>
      </c>
    </row>
    <row r="3096" spans="1:7" x14ac:dyDescent="0.25">
      <c r="A3096" s="6" t="s">
        <v>986</v>
      </c>
      <c r="B3096" s="6" t="s">
        <v>1171</v>
      </c>
      <c r="C3096" s="2080">
        <v>315</v>
      </c>
      <c r="D3096" s="2080">
        <v>114080.677092973</v>
      </c>
      <c r="E3096" s="2081">
        <v>20548.9283704837</v>
      </c>
      <c r="F3096" s="2082">
        <v>2.4946097240635399</v>
      </c>
      <c r="G3096" s="2083">
        <v>0.43953939933233699</v>
      </c>
    </row>
    <row r="3097" spans="1:7" x14ac:dyDescent="0.25">
      <c r="A3097" s="11" t="s">
        <v>988</v>
      </c>
      <c r="B3097" s="11" t="s">
        <v>1172</v>
      </c>
      <c r="C3097" s="2084">
        <v>140</v>
      </c>
      <c r="D3097" s="2084">
        <v>103910.196091067</v>
      </c>
      <c r="E3097" s="2085">
        <v>19534.6731911805</v>
      </c>
      <c r="F3097" s="2086">
        <v>2.2722111421802902</v>
      </c>
      <c r="G3097" s="2087">
        <v>0.42054650233740298</v>
      </c>
    </row>
    <row r="3098" spans="1:7" x14ac:dyDescent="0.25">
      <c r="A3098" s="6" t="s">
        <v>1005</v>
      </c>
      <c r="B3098" s="6" t="s">
        <v>1173</v>
      </c>
      <c r="C3098" s="2080">
        <v>7</v>
      </c>
      <c r="D3098" s="2080">
        <v>920.15806602956195</v>
      </c>
      <c r="E3098" s="2081">
        <v>718.69400201424196</v>
      </c>
      <c r="F3098" s="2082">
        <v>2.0121157392168298E-2</v>
      </c>
      <c r="G3098" s="2083">
        <v>1.56870402827834E-2</v>
      </c>
    </row>
    <row r="3099" spans="1:7" x14ac:dyDescent="0.25">
      <c r="A3099" s="11" t="s">
        <v>978</v>
      </c>
      <c r="B3099" s="11" t="s">
        <v>979</v>
      </c>
      <c r="C3099" s="2084">
        <v>2</v>
      </c>
      <c r="D3099" s="2084">
        <v>6633.4582960986299</v>
      </c>
      <c r="E3099" s="2085">
        <v>4984.7300513264599</v>
      </c>
      <c r="F3099" s="2086">
        <v>86.347282248668606</v>
      </c>
      <c r="G3099" s="2087">
        <v>19.409044351154598</v>
      </c>
    </row>
    <row r="3100" spans="1:7" x14ac:dyDescent="0.25">
      <c r="A3100" s="6" t="s">
        <v>980</v>
      </c>
      <c r="B3100" s="6" t="s">
        <v>1041</v>
      </c>
      <c r="C3100" s="2080">
        <v>3</v>
      </c>
      <c r="D3100" s="2080">
        <v>1048.84289896986</v>
      </c>
      <c r="E3100" s="2081">
        <v>1015.94989473279</v>
      </c>
      <c r="F3100" s="2082">
        <v>13.6527177513314</v>
      </c>
      <c r="G3100" s="2083">
        <v>19.409044351154598</v>
      </c>
    </row>
    <row r="3101" spans="1:7" x14ac:dyDescent="0.25">
      <c r="A3101" s="11" t="s">
        <v>6293</v>
      </c>
      <c r="B3101" s="11" t="s">
        <v>6294</v>
      </c>
      <c r="C3101" s="2084">
        <v>6181</v>
      </c>
      <c r="D3101" s="2084">
        <v>4573087.1643979596</v>
      </c>
      <c r="E3101" s="2085">
        <v>74291.070002736</v>
      </c>
      <c r="F3101" s="2086">
        <v>99.8322923418703</v>
      </c>
      <c r="G3101" s="2087">
        <v>0.109718975597331</v>
      </c>
    </row>
    <row r="3102" spans="1:7" x14ac:dyDescent="0.25">
      <c r="A3102" s="6" t="s">
        <v>6293</v>
      </c>
      <c r="B3102" s="6" t="s">
        <v>6295</v>
      </c>
      <c r="C3102" s="2080">
        <v>6186</v>
      </c>
      <c r="D3102" s="2080">
        <v>4580769.4655930297</v>
      </c>
      <c r="E3102" s="2081">
        <v>0</v>
      </c>
      <c r="F3102" s="2082">
        <v>100</v>
      </c>
      <c r="G3102" s="2083">
        <v>0</v>
      </c>
    </row>
    <row r="3103" spans="1:7" x14ac:dyDescent="0.25">
      <c r="A3103" s="3353" t="s">
        <v>198</v>
      </c>
      <c r="B3103" s="3354"/>
      <c r="C3103" s="3354"/>
      <c r="D3103" s="3354"/>
      <c r="E3103" s="3354"/>
      <c r="F3103" s="3354"/>
      <c r="G3103" s="3354"/>
    </row>
    <row r="3104" spans="1:7" x14ac:dyDescent="0.25">
      <c r="A3104" s="11" t="s">
        <v>6597</v>
      </c>
      <c r="B3104" s="11"/>
      <c r="C3104" s="2092">
        <v>2</v>
      </c>
      <c r="D3104" s="2092">
        <v>667.08586684116597</v>
      </c>
      <c r="E3104" s="2093">
        <v>664.66594255083703</v>
      </c>
      <c r="F3104" s="2094">
        <v>72.496877598390199</v>
      </c>
      <c r="G3104" s="2095">
        <v>67.866730676158696</v>
      </c>
    </row>
    <row r="3105" spans="1:7" x14ac:dyDescent="0.25">
      <c r="A3105" s="6" t="s">
        <v>6598</v>
      </c>
      <c r="B3105" s="6"/>
      <c r="C3105" s="2088">
        <v>1</v>
      </c>
      <c r="D3105" s="2088">
        <v>106.308768247735</v>
      </c>
      <c r="E3105" s="2089">
        <v>110.862502670925</v>
      </c>
      <c r="F3105" s="2090">
        <v>11.553315910868699</v>
      </c>
      <c r="G3105" s="2091">
        <v>43.829998036062598</v>
      </c>
    </row>
    <row r="3106" spans="1:7" x14ac:dyDescent="0.25">
      <c r="A3106" s="11" t="s">
        <v>6599</v>
      </c>
      <c r="B3106" s="11"/>
      <c r="C3106" s="2092">
        <v>1</v>
      </c>
      <c r="D3106" s="2092">
        <v>79.752206225308996</v>
      </c>
      <c r="E3106" s="2093">
        <v>81.778261076146904</v>
      </c>
      <c r="F3106" s="2094">
        <v>8.6672289435483503</v>
      </c>
      <c r="G3106" s="2095">
        <v>32.513706696438</v>
      </c>
    </row>
    <row r="3107" spans="1:7" x14ac:dyDescent="0.25">
      <c r="A3107" s="6" t="s">
        <v>6600</v>
      </c>
      <c r="B3107" s="6"/>
      <c r="C3107" s="2088">
        <v>1</v>
      </c>
      <c r="D3107" s="2088">
        <v>67.011224715352498</v>
      </c>
      <c r="E3107" s="2089">
        <v>66.602531403645997</v>
      </c>
      <c r="F3107" s="2090">
        <v>7.28257754719281</v>
      </c>
      <c r="G3107" s="2091">
        <v>6.8959088439383898</v>
      </c>
    </row>
    <row r="3108" spans="1:7" x14ac:dyDescent="0.25">
      <c r="A3108" s="11" t="s">
        <v>982</v>
      </c>
      <c r="B3108" s="11" t="s">
        <v>983</v>
      </c>
      <c r="C3108" s="2092">
        <v>6179</v>
      </c>
      <c r="D3108" s="2092">
        <v>4579849.3075270001</v>
      </c>
      <c r="E3108" s="2093">
        <v>74998.895923477001</v>
      </c>
      <c r="F3108" s="2094">
        <v>100</v>
      </c>
      <c r="G3108" s="2095">
        <v>0</v>
      </c>
    </row>
    <row r="3109" spans="1:7" x14ac:dyDescent="0.25">
      <c r="A3109" s="6" t="s">
        <v>6293</v>
      </c>
      <c r="B3109" s="6" t="s">
        <v>6294</v>
      </c>
      <c r="C3109" s="2088">
        <v>5</v>
      </c>
      <c r="D3109" s="2088">
        <v>920.15806602956195</v>
      </c>
      <c r="E3109" s="2089">
        <v>718.69400201424196</v>
      </c>
      <c r="F3109" s="2090">
        <v>2.0087412670317401E-2</v>
      </c>
      <c r="G3109" s="2091">
        <v>1.56610080929378E-2</v>
      </c>
    </row>
    <row r="3110" spans="1:7" x14ac:dyDescent="0.25">
      <c r="A3110" s="11" t="s">
        <v>6293</v>
      </c>
      <c r="B3110" s="11" t="s">
        <v>6295</v>
      </c>
      <c r="C3110" s="2092">
        <v>6184</v>
      </c>
      <c r="D3110" s="2092">
        <v>4580769.4655930297</v>
      </c>
      <c r="E3110" s="2093">
        <v>0</v>
      </c>
      <c r="F3110" s="2094">
        <v>100</v>
      </c>
      <c r="G3110" s="2095">
        <v>0</v>
      </c>
    </row>
    <row r="3111" spans="1:7" x14ac:dyDescent="0.25">
      <c r="A3111" s="3353" t="s">
        <v>829</v>
      </c>
      <c r="B3111" s="3354"/>
      <c r="C3111" s="3354"/>
      <c r="D3111" s="3354"/>
      <c r="E3111" s="3354"/>
      <c r="F3111" s="3354"/>
      <c r="G3111" s="3354"/>
    </row>
    <row r="3112" spans="1:7" x14ac:dyDescent="0.25">
      <c r="A3112" s="11" t="s">
        <v>984</v>
      </c>
      <c r="B3112" s="11" t="s">
        <v>6137</v>
      </c>
      <c r="C3112" s="2100">
        <v>2592</v>
      </c>
      <c r="D3112" s="2100">
        <v>2225584.8524495098</v>
      </c>
      <c r="E3112" s="2101">
        <v>81473.345248215395</v>
      </c>
      <c r="F3112" s="2102">
        <v>48.6670114179311</v>
      </c>
      <c r="G3112" s="2103">
        <v>1.3973385557276501</v>
      </c>
    </row>
    <row r="3113" spans="1:7" x14ac:dyDescent="0.25">
      <c r="A3113" s="6" t="s">
        <v>988</v>
      </c>
      <c r="B3113" s="6" t="s">
        <v>6139</v>
      </c>
      <c r="C3113" s="2096">
        <v>1396</v>
      </c>
      <c r="D3113" s="2096">
        <v>1016877.41088844</v>
      </c>
      <c r="E3113" s="2097">
        <v>52560.003389827798</v>
      </c>
      <c r="F3113" s="2098">
        <v>22.236125714046</v>
      </c>
      <c r="G3113" s="2099">
        <v>1.29908463711916</v>
      </c>
    </row>
    <row r="3114" spans="1:7" x14ac:dyDescent="0.25">
      <c r="A3114" s="11" t="s">
        <v>990</v>
      </c>
      <c r="B3114" s="11" t="s">
        <v>6140</v>
      </c>
      <c r="C3114" s="2100">
        <v>1360</v>
      </c>
      <c r="D3114" s="2100">
        <v>838727.62527532596</v>
      </c>
      <c r="E3114" s="2101">
        <v>51265.291898087497</v>
      </c>
      <c r="F3114" s="2102">
        <v>18.340512549266901</v>
      </c>
      <c r="G3114" s="2103">
        <v>1.11912940725216</v>
      </c>
    </row>
    <row r="3115" spans="1:7" x14ac:dyDescent="0.25">
      <c r="A3115" s="6" t="s">
        <v>986</v>
      </c>
      <c r="B3115" s="6" t="s">
        <v>6138</v>
      </c>
      <c r="C3115" s="2096">
        <v>270</v>
      </c>
      <c r="D3115" s="2096">
        <v>239632.43906136299</v>
      </c>
      <c r="E3115" s="2097">
        <v>32659.2399287882</v>
      </c>
      <c r="F3115" s="2098">
        <v>5.2400584210799597</v>
      </c>
      <c r="G3115" s="2099">
        <v>0.67998315660075703</v>
      </c>
    </row>
    <row r="3116" spans="1:7" x14ac:dyDescent="0.25">
      <c r="A3116" s="11" t="s">
        <v>1003</v>
      </c>
      <c r="B3116" s="11" t="s">
        <v>6143</v>
      </c>
      <c r="C3116" s="2100">
        <v>277</v>
      </c>
      <c r="D3116" s="2100">
        <v>120384.02376558501</v>
      </c>
      <c r="E3116" s="2101">
        <v>19041.651418730398</v>
      </c>
      <c r="F3116" s="2102">
        <v>2.6324454233627601</v>
      </c>
      <c r="G3116" s="2103">
        <v>0.39601114259678299</v>
      </c>
    </row>
    <row r="3117" spans="1:7" x14ac:dyDescent="0.25">
      <c r="A3117" s="6" t="s">
        <v>994</v>
      </c>
      <c r="B3117" s="6" t="s">
        <v>6142</v>
      </c>
      <c r="C3117" s="2096">
        <v>158</v>
      </c>
      <c r="D3117" s="2096">
        <v>52284.514362854999</v>
      </c>
      <c r="E3117" s="2097">
        <v>16658.977580336599</v>
      </c>
      <c r="F3117" s="2098">
        <v>1.1433089395254901</v>
      </c>
      <c r="G3117" s="2099">
        <v>0.36209491073225297</v>
      </c>
    </row>
    <row r="3118" spans="1:7" x14ac:dyDescent="0.25">
      <c r="A3118" s="11" t="s">
        <v>1005</v>
      </c>
      <c r="B3118" s="11" t="s">
        <v>6088</v>
      </c>
      <c r="C3118" s="2100">
        <v>96</v>
      </c>
      <c r="D3118" s="2100">
        <v>45222.771221770403</v>
      </c>
      <c r="E3118" s="2101">
        <v>11183.375503679499</v>
      </c>
      <c r="F3118" s="2102">
        <v>0.98888933440488302</v>
      </c>
      <c r="G3118" s="2103">
        <v>0.246169502543712</v>
      </c>
    </row>
    <row r="3119" spans="1:7" x14ac:dyDescent="0.25">
      <c r="A3119" s="6" t="s">
        <v>992</v>
      </c>
      <c r="B3119" s="6" t="s">
        <v>6141</v>
      </c>
      <c r="C3119" s="2096">
        <v>32</v>
      </c>
      <c r="D3119" s="2096">
        <v>34373.5273731368</v>
      </c>
      <c r="E3119" s="2097">
        <v>12542.350952897201</v>
      </c>
      <c r="F3119" s="2098">
        <v>0.75164820038285596</v>
      </c>
      <c r="G3119" s="2099">
        <v>0.27335239809159201</v>
      </c>
    </row>
    <row r="3120" spans="1:7" x14ac:dyDescent="0.25">
      <c r="A3120" s="11" t="s">
        <v>978</v>
      </c>
      <c r="B3120" s="11" t="s">
        <v>1047</v>
      </c>
      <c r="C3120" s="2100">
        <v>2</v>
      </c>
      <c r="D3120" s="2100">
        <v>6633.4582960986299</v>
      </c>
      <c r="E3120" s="2101">
        <v>4984.7300513264599</v>
      </c>
      <c r="F3120" s="2102">
        <v>86.347282248668606</v>
      </c>
      <c r="G3120" s="2103">
        <v>19.409044351154598</v>
      </c>
    </row>
    <row r="3121" spans="1:7" x14ac:dyDescent="0.25">
      <c r="A3121" s="6" t="s">
        <v>980</v>
      </c>
      <c r="B3121" s="6" t="s">
        <v>1041</v>
      </c>
      <c r="C3121" s="2096">
        <v>3</v>
      </c>
      <c r="D3121" s="2096">
        <v>1048.84289896986</v>
      </c>
      <c r="E3121" s="2097">
        <v>1015.94989473279</v>
      </c>
      <c r="F3121" s="2098">
        <v>13.6527177513314</v>
      </c>
      <c r="G3121" s="2099">
        <v>19.409044351154598</v>
      </c>
    </row>
    <row r="3122" spans="1:7" x14ac:dyDescent="0.25">
      <c r="A3122" s="11" t="s">
        <v>6293</v>
      </c>
      <c r="B3122" s="11" t="s">
        <v>6294</v>
      </c>
      <c r="C3122" s="2100">
        <v>6181</v>
      </c>
      <c r="D3122" s="2100">
        <v>4573087.1643979801</v>
      </c>
      <c r="E3122" s="2101">
        <v>74291.070002727007</v>
      </c>
      <c r="F3122" s="2102">
        <v>99.8322923418703</v>
      </c>
      <c r="G3122" s="2103">
        <v>0.10971897559732199</v>
      </c>
    </row>
    <row r="3123" spans="1:7" x14ac:dyDescent="0.25">
      <c r="A3123" s="6" t="s">
        <v>6293</v>
      </c>
      <c r="B3123" s="6" t="s">
        <v>6295</v>
      </c>
      <c r="C3123" s="2096">
        <v>6186</v>
      </c>
      <c r="D3123" s="2096">
        <v>4580769.4655930502</v>
      </c>
      <c r="E3123" s="2097">
        <v>0</v>
      </c>
      <c r="F3123" s="2098">
        <v>100</v>
      </c>
      <c r="G3123" s="2099">
        <v>0</v>
      </c>
    </row>
    <row r="3124" spans="1:7" x14ac:dyDescent="0.25">
      <c r="A3124" s="3353" t="s">
        <v>826</v>
      </c>
      <c r="B3124" s="3354"/>
      <c r="C3124" s="3354"/>
      <c r="D3124" s="3354"/>
      <c r="E3124" s="3354"/>
      <c r="F3124" s="3354"/>
      <c r="G3124" s="3354"/>
    </row>
    <row r="3125" spans="1:7" x14ac:dyDescent="0.25">
      <c r="A3125" s="11" t="s">
        <v>6601</v>
      </c>
      <c r="B3125" s="11"/>
      <c r="C3125" s="2108">
        <v>61</v>
      </c>
      <c r="D3125" s="2108">
        <v>25601.780408032901</v>
      </c>
      <c r="E3125" s="2109">
        <v>9260.6090545956995</v>
      </c>
      <c r="F3125" s="2110">
        <v>56.953795270146898</v>
      </c>
      <c r="G3125" s="2111">
        <v>10.3889225971086</v>
      </c>
    </row>
    <row r="3126" spans="1:7" x14ac:dyDescent="0.25">
      <c r="A3126" s="6" t="s">
        <v>6602</v>
      </c>
      <c r="B3126" s="6"/>
      <c r="C3126" s="2104">
        <v>16</v>
      </c>
      <c r="D3126" s="2104">
        <v>10325.962343295199</v>
      </c>
      <c r="E3126" s="2105">
        <v>5325.0824881497701</v>
      </c>
      <c r="F3126" s="2106">
        <v>22.971165906991299</v>
      </c>
      <c r="G3126" s="2107">
        <v>12.3293071667952</v>
      </c>
    </row>
    <row r="3127" spans="1:7" x14ac:dyDescent="0.25">
      <c r="A3127" s="11" t="s">
        <v>6603</v>
      </c>
      <c r="B3127" s="11"/>
      <c r="C3127" s="2108">
        <v>5</v>
      </c>
      <c r="D3127" s="2108">
        <v>3499.8979870633598</v>
      </c>
      <c r="E3127" s="2109">
        <v>2059.9648872255698</v>
      </c>
      <c r="F3127" s="2110">
        <v>7.7858832567387797</v>
      </c>
      <c r="G3127" s="2111">
        <v>5.0843981286647599</v>
      </c>
    </row>
    <row r="3128" spans="1:7" x14ac:dyDescent="0.25">
      <c r="A3128" s="6" t="s">
        <v>6604</v>
      </c>
      <c r="B3128" s="6"/>
      <c r="C3128" s="2104">
        <v>6</v>
      </c>
      <c r="D3128" s="2104">
        <v>3411.51494046371</v>
      </c>
      <c r="E3128" s="2105">
        <v>2116.1457061804199</v>
      </c>
      <c r="F3128" s="2106">
        <v>7.5892660738256303</v>
      </c>
      <c r="G3128" s="2107">
        <v>5.0436406430699003</v>
      </c>
    </row>
    <row r="3129" spans="1:7" x14ac:dyDescent="0.25">
      <c r="A3129" s="11" t="s">
        <v>6605</v>
      </c>
      <c r="B3129" s="11"/>
      <c r="C3129" s="2108">
        <v>5</v>
      </c>
      <c r="D3129" s="2108">
        <v>2044.75343208202</v>
      </c>
      <c r="E3129" s="2109">
        <v>1455.4817637152801</v>
      </c>
      <c r="F3129" s="2110">
        <v>4.5487644410929304</v>
      </c>
      <c r="G3129" s="2111">
        <v>2.8697672341316598</v>
      </c>
    </row>
    <row r="3130" spans="1:7" x14ac:dyDescent="0.25">
      <c r="A3130" s="6" t="s">
        <v>6606</v>
      </c>
      <c r="B3130" s="6"/>
      <c r="C3130" s="2104">
        <v>1</v>
      </c>
      <c r="D3130" s="2104">
        <v>67.933495155801296</v>
      </c>
      <c r="E3130" s="2105">
        <v>70.321372522209302</v>
      </c>
      <c r="F3130" s="2106">
        <v>0.151125051204449</v>
      </c>
      <c r="G3130" s="2107">
        <v>0.158317601148109</v>
      </c>
    </row>
    <row r="3131" spans="1:7" x14ac:dyDescent="0.25">
      <c r="A3131" s="11" t="s">
        <v>982</v>
      </c>
      <c r="B3131" s="11" t="s">
        <v>983</v>
      </c>
      <c r="C3131" s="2108">
        <v>6090</v>
      </c>
      <c r="D3131" s="2108">
        <v>4535546.6943712505</v>
      </c>
      <c r="E3131" s="2109">
        <v>76664.762940490997</v>
      </c>
      <c r="F3131" s="2110">
        <v>99.994026906763096</v>
      </c>
      <c r="G3131" s="2111">
        <v>4.8551482341090196E-3</v>
      </c>
    </row>
    <row r="3132" spans="1:7" x14ac:dyDescent="0.25">
      <c r="A3132" s="6" t="s">
        <v>996</v>
      </c>
      <c r="B3132" s="6"/>
      <c r="C3132" s="2104">
        <v>2</v>
      </c>
      <c r="D3132" s="2104">
        <v>270.92861567740601</v>
      </c>
      <c r="E3132" s="2105">
        <v>220.29214336642099</v>
      </c>
      <c r="F3132" s="2106">
        <v>5.9730932369144504E-3</v>
      </c>
      <c r="G3132" s="2107">
        <v>4.8551482341055502E-3</v>
      </c>
    </row>
    <row r="3133" spans="1:7" x14ac:dyDescent="0.25">
      <c r="A3133" s="11" t="s">
        <v>6293</v>
      </c>
      <c r="B3133" s="11" t="s">
        <v>6294</v>
      </c>
      <c r="C3133" s="2108">
        <v>94</v>
      </c>
      <c r="D3133" s="2108">
        <v>44951.842606093</v>
      </c>
      <c r="E3133" s="2109">
        <v>11161.8773956311</v>
      </c>
      <c r="F3133" s="2110">
        <v>0.98131641296804495</v>
      </c>
      <c r="G3133" s="2111">
        <v>0.24527362759596799</v>
      </c>
    </row>
    <row r="3134" spans="1:7" x14ac:dyDescent="0.25">
      <c r="A3134" s="6" t="s">
        <v>6293</v>
      </c>
      <c r="B3134" s="6" t="s">
        <v>6295</v>
      </c>
      <c r="C3134" s="2104">
        <v>6186</v>
      </c>
      <c r="D3134" s="2104">
        <v>4580769.4655930204</v>
      </c>
      <c r="E3134" s="2105">
        <v>0</v>
      </c>
      <c r="F3134" s="2106">
        <v>100</v>
      </c>
      <c r="G3134" s="2107">
        <v>0</v>
      </c>
    </row>
    <row r="3135" spans="1:7" x14ac:dyDescent="0.25">
      <c r="A3135" s="3353" t="s">
        <v>892</v>
      </c>
      <c r="B3135" s="3354"/>
      <c r="C3135" s="3354"/>
      <c r="D3135" s="3354"/>
      <c r="E3135" s="3354"/>
      <c r="F3135" s="3354"/>
      <c r="G3135" s="3354"/>
    </row>
    <row r="3136" spans="1:7" x14ac:dyDescent="0.25">
      <c r="A3136" s="11" t="s">
        <v>984</v>
      </c>
      <c r="B3136" s="11" t="s">
        <v>3018</v>
      </c>
      <c r="C3136" s="2116">
        <v>3863</v>
      </c>
      <c r="D3136" s="2116">
        <v>2622352.8335828502</v>
      </c>
      <c r="E3136" s="2117">
        <v>54903.622869200903</v>
      </c>
      <c r="F3136" s="2118">
        <v>57.3591821546445</v>
      </c>
      <c r="G3136" s="2119">
        <v>0.95589017656744701</v>
      </c>
    </row>
    <row r="3137" spans="1:7" x14ac:dyDescent="0.25">
      <c r="A3137" s="6" t="s">
        <v>986</v>
      </c>
      <c r="B3137" s="6" t="s">
        <v>3019</v>
      </c>
      <c r="C3137" s="2112">
        <v>1926</v>
      </c>
      <c r="D3137" s="2112">
        <v>1441768.13954965</v>
      </c>
      <c r="E3137" s="2113">
        <v>58683.003255341697</v>
      </c>
      <c r="F3137" s="2114">
        <v>31.5360466685188</v>
      </c>
      <c r="G3137" s="2115">
        <v>1.4024730969724</v>
      </c>
    </row>
    <row r="3138" spans="1:7" x14ac:dyDescent="0.25">
      <c r="A3138" s="11" t="s">
        <v>988</v>
      </c>
      <c r="B3138" s="11" t="s">
        <v>3020</v>
      </c>
      <c r="C3138" s="2116">
        <v>212</v>
      </c>
      <c r="D3138" s="2116">
        <v>261871.59727411301</v>
      </c>
      <c r="E3138" s="2117">
        <v>32811.5436500918</v>
      </c>
      <c r="F3138" s="2118">
        <v>5.7279632461399599</v>
      </c>
      <c r="G3138" s="2119">
        <v>0.667663159206764</v>
      </c>
    </row>
    <row r="3139" spans="1:7" x14ac:dyDescent="0.25">
      <c r="A3139" s="6" t="s">
        <v>1005</v>
      </c>
      <c r="B3139" s="6" t="s">
        <v>6149</v>
      </c>
      <c r="C3139" s="2112">
        <v>120</v>
      </c>
      <c r="D3139" s="2112">
        <v>107924.580746502</v>
      </c>
      <c r="E3139" s="2113">
        <v>20613.253084794302</v>
      </c>
      <c r="F3139" s="2114">
        <v>2.36065322969693</v>
      </c>
      <c r="G3139" s="2115">
        <v>0.45036177734255201</v>
      </c>
    </row>
    <row r="3140" spans="1:7" x14ac:dyDescent="0.25">
      <c r="A3140" s="11" t="s">
        <v>990</v>
      </c>
      <c r="B3140" s="11" t="s">
        <v>3021</v>
      </c>
      <c r="C3140" s="2116">
        <v>37</v>
      </c>
      <c r="D3140" s="2116">
        <v>100788.936081072</v>
      </c>
      <c r="E3140" s="2117">
        <v>26520.410722077999</v>
      </c>
      <c r="F3140" s="2118">
        <v>2.2045740259705502</v>
      </c>
      <c r="G3140" s="2119">
        <v>0.568927151190465</v>
      </c>
    </row>
    <row r="3141" spans="1:7" x14ac:dyDescent="0.25">
      <c r="A3141" s="6" t="s">
        <v>992</v>
      </c>
      <c r="B3141" s="6" t="s">
        <v>3022</v>
      </c>
      <c r="C3141" s="2112">
        <v>13</v>
      </c>
      <c r="D3141" s="2112">
        <v>29341.515023899399</v>
      </c>
      <c r="E3141" s="2113">
        <v>14960.84172706</v>
      </c>
      <c r="F3141" s="2114">
        <v>0.64179208968216594</v>
      </c>
      <c r="G3141" s="2115">
        <v>0.32260051252529198</v>
      </c>
    </row>
    <row r="3142" spans="1:7" x14ac:dyDescent="0.25">
      <c r="A3142" s="11" t="s">
        <v>1003</v>
      </c>
      <c r="B3142" s="11" t="s">
        <v>3024</v>
      </c>
      <c r="C3142" s="2116">
        <v>2</v>
      </c>
      <c r="D3142" s="2116">
        <v>5691.4211980832097</v>
      </c>
      <c r="E3142" s="2117">
        <v>5448.13997115244</v>
      </c>
      <c r="F3142" s="2118">
        <v>0.124489451243536</v>
      </c>
      <c r="G3142" s="2119">
        <v>0.11882790742171601</v>
      </c>
    </row>
    <row r="3143" spans="1:7" x14ac:dyDescent="0.25">
      <c r="A3143" s="6" t="s">
        <v>994</v>
      </c>
      <c r="B3143" s="6" t="s">
        <v>3023</v>
      </c>
      <c r="C3143" s="2112">
        <v>2</v>
      </c>
      <c r="D3143" s="2112">
        <v>2070.9903491140199</v>
      </c>
      <c r="E3143" s="2113">
        <v>2128.1495877054099</v>
      </c>
      <c r="F3143" s="2114">
        <v>4.5299134103568298E-2</v>
      </c>
      <c r="G3143" s="2115">
        <v>4.6700243393082902E-2</v>
      </c>
    </row>
    <row r="3144" spans="1:7" x14ac:dyDescent="0.25">
      <c r="A3144" s="11" t="s">
        <v>978</v>
      </c>
      <c r="B3144" s="11" t="s">
        <v>979</v>
      </c>
      <c r="C3144" s="2116">
        <v>6</v>
      </c>
      <c r="D3144" s="2116">
        <v>6795.0908769914704</v>
      </c>
      <c r="E3144" s="2117">
        <v>4947.4109999263501</v>
      </c>
      <c r="F3144" s="2118">
        <v>75.842708214208798</v>
      </c>
      <c r="G3144" s="2119">
        <v>30.637293960685898</v>
      </c>
    </row>
    <row r="3145" spans="1:7" x14ac:dyDescent="0.25">
      <c r="A3145" s="6" t="s">
        <v>980</v>
      </c>
      <c r="B3145" s="6" t="s">
        <v>981</v>
      </c>
      <c r="C3145" s="2112">
        <v>5</v>
      </c>
      <c r="D3145" s="2112">
        <v>2164.3609107789898</v>
      </c>
      <c r="E3145" s="2113">
        <v>2135.9703997889501</v>
      </c>
      <c r="F3145" s="2114">
        <v>24.157291785791202</v>
      </c>
      <c r="G3145" s="2115">
        <v>30.637293960685898</v>
      </c>
    </row>
    <row r="3146" spans="1:7" x14ac:dyDescent="0.25">
      <c r="A3146" s="11" t="s">
        <v>6293</v>
      </c>
      <c r="B3146" s="11" t="s">
        <v>6294</v>
      </c>
      <c r="C3146" s="2116">
        <v>6175</v>
      </c>
      <c r="D3146" s="2116">
        <v>4571810.0138052804</v>
      </c>
      <c r="E3146" s="2117">
        <v>74103.758325099494</v>
      </c>
      <c r="F3146" s="2118">
        <v>99.804411641863496</v>
      </c>
      <c r="G3146" s="2119">
        <v>0.112956619000916</v>
      </c>
    </row>
    <row r="3147" spans="1:7" x14ac:dyDescent="0.25">
      <c r="A3147" s="6" t="s">
        <v>6293</v>
      </c>
      <c r="B3147" s="6" t="s">
        <v>6295</v>
      </c>
      <c r="C3147" s="2112">
        <v>6186</v>
      </c>
      <c r="D3147" s="2112">
        <v>4580769.4655930502</v>
      </c>
      <c r="E3147" s="2113">
        <v>0</v>
      </c>
      <c r="F3147" s="2114">
        <v>100</v>
      </c>
      <c r="G3147" s="2115">
        <v>0</v>
      </c>
    </row>
    <row r="3148" spans="1:7" x14ac:dyDescent="0.25">
      <c r="A3148" s="3353" t="s">
        <v>444</v>
      </c>
      <c r="B3148" s="3354"/>
      <c r="C3148" s="3354"/>
      <c r="D3148" s="3354"/>
      <c r="E3148" s="3354"/>
      <c r="F3148" s="3354"/>
      <c r="G3148" s="3354"/>
    </row>
    <row r="3149" spans="1:7" x14ac:dyDescent="0.25">
      <c r="A3149" s="11" t="s">
        <v>1168</v>
      </c>
      <c r="B3149" s="11" t="s">
        <v>1047</v>
      </c>
      <c r="C3149" s="2124">
        <v>760</v>
      </c>
      <c r="D3149" s="2124">
        <v>650714.928925563</v>
      </c>
      <c r="E3149" s="2125">
        <v>65876.011962068296</v>
      </c>
      <c r="F3149" s="2126">
        <v>83.822744733202796</v>
      </c>
      <c r="G3149" s="2127">
        <v>4.1271694433070598</v>
      </c>
    </row>
    <row r="3150" spans="1:7" x14ac:dyDescent="0.25">
      <c r="A3150" s="6" t="s">
        <v>1169</v>
      </c>
      <c r="B3150" s="6" t="s">
        <v>981</v>
      </c>
      <c r="C3150" s="2120">
        <v>175</v>
      </c>
      <c r="D3150" s="2120">
        <v>121601.419321954</v>
      </c>
      <c r="E3150" s="2121">
        <v>35368.070121575503</v>
      </c>
      <c r="F3150" s="2122">
        <v>15.664255233623701</v>
      </c>
      <c r="G3150" s="2123">
        <v>4.1458408425318396</v>
      </c>
    </row>
    <row r="3151" spans="1:7" x14ac:dyDescent="0.25">
      <c r="A3151" s="11" t="s">
        <v>996</v>
      </c>
      <c r="B3151" s="11" t="s">
        <v>997</v>
      </c>
      <c r="C3151" s="2124">
        <v>1</v>
      </c>
      <c r="D3151" s="2124">
        <v>3231.31117766632</v>
      </c>
      <c r="E3151" s="2125">
        <v>3418.5312382719098</v>
      </c>
      <c r="F3151" s="2126">
        <v>0.41624582433708501</v>
      </c>
      <c r="G3151" s="2127">
        <v>0.44299622418468199</v>
      </c>
    </row>
    <row r="3152" spans="1:7" x14ac:dyDescent="0.25">
      <c r="A3152" s="6" t="s">
        <v>978</v>
      </c>
      <c r="B3152" s="6" t="s">
        <v>1047</v>
      </c>
      <c r="C3152" s="2120">
        <v>4</v>
      </c>
      <c r="D3152" s="2120">
        <v>751.10172455735699</v>
      </c>
      <c r="E3152" s="2121">
        <v>550.59439527592201</v>
      </c>
      <c r="F3152" s="2122">
        <v>9.67542088364194E-2</v>
      </c>
      <c r="G3152" s="2123">
        <v>7.4715100162999204E-2</v>
      </c>
    </row>
    <row r="3153" spans="1:7" x14ac:dyDescent="0.25">
      <c r="A3153" s="11" t="s">
        <v>6293</v>
      </c>
      <c r="B3153" s="11" t="s">
        <v>6294</v>
      </c>
      <c r="C3153" s="2124">
        <v>4624</v>
      </c>
      <c r="D3153" s="2124">
        <v>3804470.7044433099</v>
      </c>
      <c r="E3153" s="2125">
        <v>82149.785190343304</v>
      </c>
      <c r="F3153" s="2126">
        <v>83.053092564892097</v>
      </c>
      <c r="G3153" s="2127">
        <v>1.5776655660957499</v>
      </c>
    </row>
    <row r="3154" spans="1:7" x14ac:dyDescent="0.25">
      <c r="A3154" s="6" t="s">
        <v>6293</v>
      </c>
      <c r="B3154" s="6" t="s">
        <v>6295</v>
      </c>
      <c r="C3154" s="2120">
        <v>5564</v>
      </c>
      <c r="D3154" s="2120">
        <v>4580769.4655930502</v>
      </c>
      <c r="E3154" s="2121">
        <v>0</v>
      </c>
      <c r="F3154" s="2122">
        <v>100</v>
      </c>
      <c r="G3154" s="2123">
        <v>0</v>
      </c>
    </row>
    <row r="3155" spans="1:7" x14ac:dyDescent="0.25">
      <c r="A3155" s="3353" t="s">
        <v>432</v>
      </c>
      <c r="B3155" s="3354"/>
      <c r="C3155" s="3354"/>
      <c r="D3155" s="3354"/>
      <c r="E3155" s="3354"/>
      <c r="F3155" s="3354"/>
      <c r="G3155" s="3354"/>
    </row>
    <row r="3156" spans="1:7" x14ac:dyDescent="0.25">
      <c r="A3156" s="11" t="s">
        <v>982</v>
      </c>
      <c r="B3156" s="11" t="s">
        <v>983</v>
      </c>
      <c r="C3156" s="2132">
        <v>940</v>
      </c>
      <c r="D3156" s="2132">
        <v>776298.76114973903</v>
      </c>
      <c r="E3156" s="2133">
        <v>76421.429726445902</v>
      </c>
      <c r="F3156" s="2134">
        <v>66.9574216333246</v>
      </c>
      <c r="G3156" s="2135">
        <v>2.9239760273030599</v>
      </c>
    </row>
    <row r="3157" spans="1:7" x14ac:dyDescent="0.25">
      <c r="A3157" s="6" t="s">
        <v>1168</v>
      </c>
      <c r="B3157" s="6" t="s">
        <v>979</v>
      </c>
      <c r="C3157" s="2128">
        <v>448</v>
      </c>
      <c r="D3157" s="2128">
        <v>349286.77266567101</v>
      </c>
      <c r="E3157" s="2129">
        <v>41966.842417690001</v>
      </c>
      <c r="F3157" s="2130">
        <v>30.126728108751099</v>
      </c>
      <c r="G3157" s="2131">
        <v>2.53220381428092</v>
      </c>
    </row>
    <row r="3158" spans="1:7" x14ac:dyDescent="0.25">
      <c r="A3158" s="11" t="s">
        <v>1169</v>
      </c>
      <c r="B3158" s="11" t="s">
        <v>981</v>
      </c>
      <c r="C3158" s="2132">
        <v>43</v>
      </c>
      <c r="D3158" s="2132">
        <v>28651.6659884576</v>
      </c>
      <c r="E3158" s="2133">
        <v>11983.4597155422</v>
      </c>
      <c r="F3158" s="2134">
        <v>2.4712672183645199</v>
      </c>
      <c r="G3158" s="2135">
        <v>0.99920103096014801</v>
      </c>
    </row>
    <row r="3159" spans="1:7" x14ac:dyDescent="0.25">
      <c r="A3159" s="6" t="s">
        <v>996</v>
      </c>
      <c r="B3159" s="6" t="s">
        <v>997</v>
      </c>
      <c r="C3159" s="2128">
        <v>7</v>
      </c>
      <c r="D3159" s="2128">
        <v>4522.7057516489403</v>
      </c>
      <c r="E3159" s="2129">
        <v>3010.3939384032401</v>
      </c>
      <c r="F3159" s="2130">
        <v>0.39009300425536497</v>
      </c>
      <c r="G3159" s="2131">
        <v>0.25967157542331398</v>
      </c>
    </row>
    <row r="3160" spans="1:7" x14ac:dyDescent="0.25">
      <c r="A3160" s="11" t="s">
        <v>978</v>
      </c>
      <c r="B3160" s="11" t="s">
        <v>979</v>
      </c>
      <c r="C3160" s="2132">
        <v>8</v>
      </c>
      <c r="D3160" s="2132">
        <v>631.75292402228501</v>
      </c>
      <c r="E3160" s="2133">
        <v>283.78979945622001</v>
      </c>
      <c r="F3160" s="2134">
        <v>5.4490035304444399E-2</v>
      </c>
      <c r="G3160" s="2135">
        <v>2.5123963034117E-2</v>
      </c>
    </row>
    <row r="3161" spans="1:7" x14ac:dyDescent="0.25">
      <c r="A3161" s="6" t="s">
        <v>6293</v>
      </c>
      <c r="B3161" s="6" t="s">
        <v>6294</v>
      </c>
      <c r="C3161" s="2128">
        <v>4721</v>
      </c>
      <c r="D3161" s="2128">
        <v>3421377.8071135101</v>
      </c>
      <c r="E3161" s="2129">
        <v>107480.097048158</v>
      </c>
      <c r="F3161" s="2130">
        <v>74.690023866340994</v>
      </c>
      <c r="G3161" s="2131">
        <v>2.1497057399518398</v>
      </c>
    </row>
    <row r="3162" spans="1:7" x14ac:dyDescent="0.25">
      <c r="A3162" s="11" t="s">
        <v>6293</v>
      </c>
      <c r="B3162" s="11" t="s">
        <v>6295</v>
      </c>
      <c r="C3162" s="2132">
        <v>6167</v>
      </c>
      <c r="D3162" s="2132">
        <v>4580769.4655930502</v>
      </c>
      <c r="E3162" s="2133">
        <v>0</v>
      </c>
      <c r="F3162" s="2134">
        <v>100</v>
      </c>
      <c r="G3162" s="2135">
        <v>0</v>
      </c>
    </row>
    <row r="3163" spans="1:7" x14ac:dyDescent="0.25">
      <c r="A3163" s="3353" t="s">
        <v>447</v>
      </c>
      <c r="B3163" s="3354"/>
      <c r="C3163" s="3354"/>
      <c r="D3163" s="3354"/>
      <c r="E3163" s="3354"/>
      <c r="F3163" s="3354"/>
      <c r="G3163" s="3354"/>
    </row>
    <row r="3164" spans="1:7" x14ac:dyDescent="0.25">
      <c r="A3164" s="11" t="s">
        <v>6477</v>
      </c>
      <c r="B3164" s="11"/>
      <c r="C3164" s="2140">
        <v>3338</v>
      </c>
      <c r="D3164" s="2140">
        <v>2345116.9503610199</v>
      </c>
      <c r="E3164" s="2141">
        <v>96286.116105576293</v>
      </c>
      <c r="F3164" s="2142">
        <v>68.543057287774701</v>
      </c>
      <c r="G3164" s="2143">
        <v>1.9412426004416801</v>
      </c>
    </row>
    <row r="3165" spans="1:7" x14ac:dyDescent="0.25">
      <c r="A3165" s="6" t="s">
        <v>6527</v>
      </c>
      <c r="B3165" s="6"/>
      <c r="C3165" s="2136">
        <v>1400</v>
      </c>
      <c r="D3165" s="2136">
        <v>1076131.3478709699</v>
      </c>
      <c r="E3165" s="2137">
        <v>76843.481866657705</v>
      </c>
      <c r="F3165" s="2138">
        <v>31.4531574277926</v>
      </c>
      <c r="G3165" s="2139">
        <v>1.94029444095949</v>
      </c>
    </row>
    <row r="3166" spans="1:7" x14ac:dyDescent="0.25">
      <c r="A3166" s="11" t="s">
        <v>6517</v>
      </c>
      <c r="B3166" s="11"/>
      <c r="C3166" s="2140">
        <v>2</v>
      </c>
      <c r="D3166" s="2140">
        <v>129.50888151704501</v>
      </c>
      <c r="E3166" s="2141">
        <v>146.90015080906801</v>
      </c>
      <c r="F3166" s="2142">
        <v>3.78528443271533E-3</v>
      </c>
      <c r="G3166" s="2143">
        <v>4.3157184961769403E-3</v>
      </c>
    </row>
    <row r="3167" spans="1:7" x14ac:dyDescent="0.25">
      <c r="A3167" s="6" t="s">
        <v>982</v>
      </c>
      <c r="B3167" s="6" t="s">
        <v>983</v>
      </c>
      <c r="C3167" s="2136">
        <v>940</v>
      </c>
      <c r="D3167" s="2136">
        <v>776298.76114973903</v>
      </c>
      <c r="E3167" s="2137">
        <v>76421.429726445902</v>
      </c>
      <c r="F3167" s="2138">
        <v>66.9574216333246</v>
      </c>
      <c r="G3167" s="2139">
        <v>2.9239760273030599</v>
      </c>
    </row>
    <row r="3168" spans="1:7" x14ac:dyDescent="0.25">
      <c r="A3168" s="11" t="s">
        <v>1168</v>
      </c>
      <c r="B3168" s="11"/>
      <c r="C3168" s="2140">
        <v>448</v>
      </c>
      <c r="D3168" s="2140">
        <v>349286.77266567101</v>
      </c>
      <c r="E3168" s="2141">
        <v>41966.842417690001</v>
      </c>
      <c r="F3168" s="2142">
        <v>30.126728108751099</v>
      </c>
      <c r="G3168" s="2143">
        <v>2.53220381428092</v>
      </c>
    </row>
    <row r="3169" spans="1:7" x14ac:dyDescent="0.25">
      <c r="A3169" s="6" t="s">
        <v>1169</v>
      </c>
      <c r="B3169" s="6"/>
      <c r="C3169" s="2136">
        <v>43</v>
      </c>
      <c r="D3169" s="2136">
        <v>28651.6659884576</v>
      </c>
      <c r="E3169" s="2137">
        <v>11983.4597155422</v>
      </c>
      <c r="F3169" s="2138">
        <v>2.4712672183645199</v>
      </c>
      <c r="G3169" s="2139">
        <v>0.99920103096014801</v>
      </c>
    </row>
    <row r="3170" spans="1:7" x14ac:dyDescent="0.25">
      <c r="A3170" s="11" t="s">
        <v>996</v>
      </c>
      <c r="B3170" s="11" t="s">
        <v>997</v>
      </c>
      <c r="C3170" s="2140">
        <v>7</v>
      </c>
      <c r="D3170" s="2140">
        <v>4522.7057516489403</v>
      </c>
      <c r="E3170" s="2141">
        <v>3010.3939384032401</v>
      </c>
      <c r="F3170" s="2142">
        <v>0.39009300425536497</v>
      </c>
      <c r="G3170" s="2143">
        <v>0.25967157542331398</v>
      </c>
    </row>
    <row r="3171" spans="1:7" x14ac:dyDescent="0.25">
      <c r="A3171" s="6" t="s">
        <v>978</v>
      </c>
      <c r="B3171" s="6" t="s">
        <v>979</v>
      </c>
      <c r="C3171" s="2136">
        <v>8</v>
      </c>
      <c r="D3171" s="2136">
        <v>631.75292402228501</v>
      </c>
      <c r="E3171" s="2137">
        <v>283.78979945622001</v>
      </c>
      <c r="F3171" s="2138">
        <v>5.4490035304444399E-2</v>
      </c>
      <c r="G3171" s="2139">
        <v>2.5123963034117E-2</v>
      </c>
    </row>
    <row r="3172" spans="1:7" x14ac:dyDescent="0.25">
      <c r="A3172" s="11" t="s">
        <v>6293</v>
      </c>
      <c r="B3172" s="11" t="s">
        <v>6294</v>
      </c>
      <c r="C3172" s="2140">
        <v>4740</v>
      </c>
      <c r="D3172" s="2140">
        <v>3421377.8071135101</v>
      </c>
      <c r="E3172" s="2141">
        <v>107480.097048158</v>
      </c>
      <c r="F3172" s="2142">
        <v>74.690023866340994</v>
      </c>
      <c r="G3172" s="2143">
        <v>2.1497057399517701</v>
      </c>
    </row>
    <row r="3173" spans="1:7" x14ac:dyDescent="0.25">
      <c r="A3173" s="6" t="s">
        <v>6293</v>
      </c>
      <c r="B3173" s="6" t="s">
        <v>6295</v>
      </c>
      <c r="C3173" s="2136">
        <v>6186</v>
      </c>
      <c r="D3173" s="2136">
        <v>4580769.4655930502</v>
      </c>
      <c r="E3173" s="2137">
        <v>0</v>
      </c>
      <c r="F3173" s="2138">
        <v>100</v>
      </c>
      <c r="G3173" s="2139">
        <v>0</v>
      </c>
    </row>
    <row r="3174" spans="1:7" x14ac:dyDescent="0.25">
      <c r="A3174" s="3353" t="s">
        <v>442</v>
      </c>
      <c r="B3174" s="3354"/>
      <c r="C3174" s="3354"/>
      <c r="D3174" s="3354"/>
      <c r="E3174" s="3354"/>
      <c r="F3174" s="3354"/>
      <c r="G3174" s="3354"/>
    </row>
    <row r="3175" spans="1:7" x14ac:dyDescent="0.25">
      <c r="A3175" s="11" t="s">
        <v>984</v>
      </c>
      <c r="B3175" s="11"/>
      <c r="C3175" s="2148">
        <v>547</v>
      </c>
      <c r="D3175" s="2148">
        <v>331985.61314230302</v>
      </c>
      <c r="E3175" s="2149">
        <v>36397.345703787003</v>
      </c>
      <c r="F3175" s="2150">
        <v>9.7032725369311592</v>
      </c>
      <c r="G3175" s="2151">
        <v>0.98505758007187505</v>
      </c>
    </row>
    <row r="3176" spans="1:7" x14ac:dyDescent="0.25">
      <c r="A3176" s="6" t="s">
        <v>1017</v>
      </c>
      <c r="B3176" s="6"/>
      <c r="C3176" s="2144">
        <v>330</v>
      </c>
      <c r="D3176" s="2144">
        <v>328129.11643692298</v>
      </c>
      <c r="E3176" s="2145">
        <v>24896.155584344298</v>
      </c>
      <c r="F3176" s="2146">
        <v>9.5905548856574097</v>
      </c>
      <c r="G3176" s="2147">
        <v>0.75561714752779596</v>
      </c>
    </row>
    <row r="3177" spans="1:7" x14ac:dyDescent="0.25">
      <c r="A3177" s="11" t="s">
        <v>992</v>
      </c>
      <c r="B3177" s="11"/>
      <c r="C3177" s="2148">
        <v>215</v>
      </c>
      <c r="D3177" s="2148">
        <v>326289.39128899702</v>
      </c>
      <c r="E3177" s="2149">
        <v>31726.929710781598</v>
      </c>
      <c r="F3177" s="2150">
        <v>9.5367834154590199</v>
      </c>
      <c r="G3177" s="2151">
        <v>0.95612476333918694</v>
      </c>
    </row>
    <row r="3178" spans="1:7" x14ac:dyDescent="0.25">
      <c r="A3178" s="6" t="s">
        <v>1015</v>
      </c>
      <c r="B3178" s="6"/>
      <c r="C3178" s="2144">
        <v>448</v>
      </c>
      <c r="D3178" s="2144">
        <v>299394.05762850097</v>
      </c>
      <c r="E3178" s="2145">
        <v>50593.586791553498</v>
      </c>
      <c r="F3178" s="2146">
        <v>8.7506868433535896</v>
      </c>
      <c r="G3178" s="2147">
        <v>1.36359197557237</v>
      </c>
    </row>
    <row r="3179" spans="1:7" x14ac:dyDescent="0.25">
      <c r="A3179" s="11" t="s">
        <v>994</v>
      </c>
      <c r="B3179" s="11"/>
      <c r="C3179" s="2148">
        <v>323</v>
      </c>
      <c r="D3179" s="2148">
        <v>282058.64420584001</v>
      </c>
      <c r="E3179" s="2149">
        <v>31214.9387271511</v>
      </c>
      <c r="F3179" s="2150">
        <v>8.2440075346078991</v>
      </c>
      <c r="G3179" s="2151">
        <v>0.89051648700242103</v>
      </c>
    </row>
    <row r="3180" spans="1:7" x14ac:dyDescent="0.25">
      <c r="A3180" s="6" t="s">
        <v>1019</v>
      </c>
      <c r="B3180" s="6"/>
      <c r="C3180" s="2144">
        <v>480</v>
      </c>
      <c r="D3180" s="2144">
        <v>276207.39166346099</v>
      </c>
      <c r="E3180" s="2145">
        <v>45379.124805223699</v>
      </c>
      <c r="F3180" s="2146">
        <v>8.0729871775396607</v>
      </c>
      <c r="G3180" s="2147">
        <v>1.2265705709867201</v>
      </c>
    </row>
    <row r="3181" spans="1:7" x14ac:dyDescent="0.25">
      <c r="A3181" s="11" t="s">
        <v>990</v>
      </c>
      <c r="B3181" s="11"/>
      <c r="C3181" s="2148">
        <v>216</v>
      </c>
      <c r="D3181" s="2148">
        <v>274510.571292218</v>
      </c>
      <c r="E3181" s="2149">
        <v>27490.305211082199</v>
      </c>
      <c r="F3181" s="2150">
        <v>8.0233925268782897</v>
      </c>
      <c r="G3181" s="2151">
        <v>0.74306380623918</v>
      </c>
    </row>
    <row r="3182" spans="1:7" x14ac:dyDescent="0.25">
      <c r="A3182" s="6" t="s">
        <v>988</v>
      </c>
      <c r="B3182" s="6"/>
      <c r="C3182" s="2144">
        <v>410</v>
      </c>
      <c r="D3182" s="2144">
        <v>274427.02297796402</v>
      </c>
      <c r="E3182" s="2145">
        <v>28094.1070432995</v>
      </c>
      <c r="F3182" s="2146">
        <v>8.0209505774951992</v>
      </c>
      <c r="G3182" s="2147">
        <v>0.97546661969540804</v>
      </c>
    </row>
    <row r="3183" spans="1:7" x14ac:dyDescent="0.25">
      <c r="A3183" s="11" t="s">
        <v>1013</v>
      </c>
      <c r="B3183" s="11"/>
      <c r="C3183" s="2148">
        <v>477</v>
      </c>
      <c r="D3183" s="2148">
        <v>263252.32736324199</v>
      </c>
      <c r="E3183" s="2149">
        <v>22929.966076771001</v>
      </c>
      <c r="F3183" s="2150">
        <v>7.6943366738366104</v>
      </c>
      <c r="G3183" s="2151">
        <v>0.73262687281207595</v>
      </c>
    </row>
    <row r="3184" spans="1:7" x14ac:dyDescent="0.25">
      <c r="A3184" s="6" t="s">
        <v>1003</v>
      </c>
      <c r="B3184" s="6"/>
      <c r="C3184" s="2144">
        <v>481</v>
      </c>
      <c r="D3184" s="2144">
        <v>263083.62154145498</v>
      </c>
      <c r="E3184" s="2145">
        <v>31602.558427041098</v>
      </c>
      <c r="F3184" s="2146">
        <v>7.6894057415836397</v>
      </c>
      <c r="G3184" s="2147">
        <v>0.93383446708185203</v>
      </c>
    </row>
    <row r="3185" spans="1:7" x14ac:dyDescent="0.25">
      <c r="A3185" s="11" t="s">
        <v>1021</v>
      </c>
      <c r="B3185" s="11"/>
      <c r="C3185" s="2148">
        <v>534</v>
      </c>
      <c r="D3185" s="2148">
        <v>259194.79385295699</v>
      </c>
      <c r="E3185" s="2149">
        <v>27166.082740538699</v>
      </c>
      <c r="F3185" s="2150">
        <v>7.5757431206239696</v>
      </c>
      <c r="G3185" s="2151">
        <v>0.79450022956806599</v>
      </c>
    </row>
    <row r="3186" spans="1:7" x14ac:dyDescent="0.25">
      <c r="A3186" s="6" t="s">
        <v>986</v>
      </c>
      <c r="B3186" s="6"/>
      <c r="C3186" s="2144">
        <v>279</v>
      </c>
      <c r="D3186" s="2144">
        <v>242845.25571965001</v>
      </c>
      <c r="E3186" s="2145">
        <v>48136.475525086098</v>
      </c>
      <c r="F3186" s="2146">
        <v>7.09787896603354</v>
      </c>
      <c r="G3186" s="2147">
        <v>1.2747328311295401</v>
      </c>
    </row>
    <row r="3187" spans="1:7" x14ac:dyDescent="0.25">
      <c r="A3187" s="11" t="s">
        <v>982</v>
      </c>
      <c r="B3187" s="11" t="s">
        <v>983</v>
      </c>
      <c r="C3187" s="2148">
        <v>940</v>
      </c>
      <c r="D3187" s="2148">
        <v>776298.76114973903</v>
      </c>
      <c r="E3187" s="2149">
        <v>76421.429726445902</v>
      </c>
      <c r="F3187" s="2150">
        <v>66.9574216333246</v>
      </c>
      <c r="G3187" s="2151">
        <v>2.9239760273030599</v>
      </c>
    </row>
    <row r="3188" spans="1:7" x14ac:dyDescent="0.25">
      <c r="A3188" s="6" t="s">
        <v>1168</v>
      </c>
      <c r="B3188" s="6"/>
      <c r="C3188" s="2144">
        <v>448</v>
      </c>
      <c r="D3188" s="2144">
        <v>349286.77266567101</v>
      </c>
      <c r="E3188" s="2145">
        <v>41966.842417690001</v>
      </c>
      <c r="F3188" s="2146">
        <v>30.126728108751099</v>
      </c>
      <c r="G3188" s="2147">
        <v>2.53220381428092</v>
      </c>
    </row>
    <row r="3189" spans="1:7" x14ac:dyDescent="0.25">
      <c r="A3189" s="11" t="s">
        <v>1169</v>
      </c>
      <c r="B3189" s="11"/>
      <c r="C3189" s="2148">
        <v>43</v>
      </c>
      <c r="D3189" s="2148">
        <v>28651.6659884576</v>
      </c>
      <c r="E3189" s="2149">
        <v>11983.4597155422</v>
      </c>
      <c r="F3189" s="2150">
        <v>2.4712672183645199</v>
      </c>
      <c r="G3189" s="2151">
        <v>0.99920103096014801</v>
      </c>
    </row>
    <row r="3190" spans="1:7" x14ac:dyDescent="0.25">
      <c r="A3190" s="6" t="s">
        <v>996</v>
      </c>
      <c r="B3190" s="6" t="s">
        <v>997</v>
      </c>
      <c r="C3190" s="2144">
        <v>7</v>
      </c>
      <c r="D3190" s="2144">
        <v>4522.7057516489403</v>
      </c>
      <c r="E3190" s="2145">
        <v>3010.3939384032401</v>
      </c>
      <c r="F3190" s="2146">
        <v>0.39009300425536497</v>
      </c>
      <c r="G3190" s="2147">
        <v>0.25967157542331398</v>
      </c>
    </row>
    <row r="3191" spans="1:7" x14ac:dyDescent="0.25">
      <c r="A3191" s="11" t="s">
        <v>978</v>
      </c>
      <c r="B3191" s="11" t="s">
        <v>979</v>
      </c>
      <c r="C3191" s="2148">
        <v>8</v>
      </c>
      <c r="D3191" s="2148">
        <v>631.75292402228501</v>
      </c>
      <c r="E3191" s="2149">
        <v>283.78979945622001</v>
      </c>
      <c r="F3191" s="2150">
        <v>5.4490035304444399E-2</v>
      </c>
      <c r="G3191" s="2151">
        <v>2.5123963034117E-2</v>
      </c>
    </row>
    <row r="3192" spans="1:7" x14ac:dyDescent="0.25">
      <c r="A3192" s="6" t="s">
        <v>6293</v>
      </c>
      <c r="B3192" s="6" t="s">
        <v>6294</v>
      </c>
      <c r="C3192" s="2144">
        <v>4740</v>
      </c>
      <c r="D3192" s="2144">
        <v>3421377.8071135101</v>
      </c>
      <c r="E3192" s="2145">
        <v>107480.097048158</v>
      </c>
      <c r="F3192" s="2146">
        <v>74.690023866340994</v>
      </c>
      <c r="G3192" s="2147">
        <v>2.14970573995185</v>
      </c>
    </row>
    <row r="3193" spans="1:7" x14ac:dyDescent="0.25">
      <c r="A3193" s="11" t="s">
        <v>6293</v>
      </c>
      <c r="B3193" s="11" t="s">
        <v>6295</v>
      </c>
      <c r="C3193" s="2148">
        <v>6186</v>
      </c>
      <c r="D3193" s="2148">
        <v>4580769.4655930502</v>
      </c>
      <c r="E3193" s="2149">
        <v>0</v>
      </c>
      <c r="F3193" s="2150">
        <v>100</v>
      </c>
      <c r="G3193" s="2151">
        <v>0</v>
      </c>
    </row>
    <row r="3194" spans="1:7" x14ac:dyDescent="0.25">
      <c r="A3194" s="3353" t="s">
        <v>435</v>
      </c>
      <c r="B3194" s="3354"/>
      <c r="C3194" s="3354"/>
      <c r="D3194" s="3354"/>
      <c r="E3194" s="3354"/>
      <c r="F3194" s="3354"/>
      <c r="G3194" s="3354"/>
    </row>
    <row r="3195" spans="1:7" x14ac:dyDescent="0.25">
      <c r="A3195" s="11" t="s">
        <v>988</v>
      </c>
      <c r="B3195" s="11"/>
      <c r="C3195" s="2156">
        <v>172</v>
      </c>
      <c r="D3195" s="2156">
        <v>177803.044674545</v>
      </c>
      <c r="E3195" s="2157">
        <v>40078.8148397896</v>
      </c>
      <c r="F3195" s="2158">
        <v>5.1968258023088998</v>
      </c>
      <c r="G3195" s="2159">
        <v>1.1873509920190299</v>
      </c>
    </row>
    <row r="3196" spans="1:7" x14ac:dyDescent="0.25">
      <c r="A3196" s="6" t="s">
        <v>984</v>
      </c>
      <c r="B3196" s="6"/>
      <c r="C3196" s="2152">
        <v>269</v>
      </c>
      <c r="D3196" s="2152">
        <v>174214.64388245301</v>
      </c>
      <c r="E3196" s="2153">
        <v>50271.5578872349</v>
      </c>
      <c r="F3196" s="2154">
        <v>5.0919440559951301</v>
      </c>
      <c r="G3196" s="2155">
        <v>1.3876575515465399</v>
      </c>
    </row>
    <row r="3197" spans="1:7" x14ac:dyDescent="0.25">
      <c r="A3197" s="11" t="s">
        <v>994</v>
      </c>
      <c r="B3197" s="11"/>
      <c r="C3197" s="2156">
        <v>168</v>
      </c>
      <c r="D3197" s="2156">
        <v>160715.50320477001</v>
      </c>
      <c r="E3197" s="2157">
        <v>26447.137064765899</v>
      </c>
      <c r="F3197" s="2158">
        <v>4.6973912927891304</v>
      </c>
      <c r="G3197" s="2159">
        <v>0.75903879461191104</v>
      </c>
    </row>
    <row r="3198" spans="1:7" x14ac:dyDescent="0.25">
      <c r="A3198" s="6" t="s">
        <v>1017</v>
      </c>
      <c r="B3198" s="6"/>
      <c r="C3198" s="2152">
        <v>152</v>
      </c>
      <c r="D3198" s="2152">
        <v>140078.836486354</v>
      </c>
      <c r="E3198" s="2153">
        <v>21099.676562666202</v>
      </c>
      <c r="F3198" s="2154">
        <v>4.0942229821889704</v>
      </c>
      <c r="G3198" s="2155">
        <v>0.64440207616894896</v>
      </c>
    </row>
    <row r="3199" spans="1:7" x14ac:dyDescent="0.25">
      <c r="A3199" s="11" t="s">
        <v>3056</v>
      </c>
      <c r="B3199" s="11"/>
      <c r="C3199" s="2156">
        <v>175</v>
      </c>
      <c r="D3199" s="2156">
        <v>134956.790538295</v>
      </c>
      <c r="E3199" s="2157">
        <v>23950.724862443501</v>
      </c>
      <c r="F3199" s="2158">
        <v>3.94451586894911</v>
      </c>
      <c r="G3199" s="2159">
        <v>0.75176382778121598</v>
      </c>
    </row>
    <row r="3200" spans="1:7" x14ac:dyDescent="0.25">
      <c r="A3200" s="6" t="s">
        <v>3060</v>
      </c>
      <c r="B3200" s="6"/>
      <c r="C3200" s="2152">
        <v>150</v>
      </c>
      <c r="D3200" s="2152">
        <v>134432.76362767501</v>
      </c>
      <c r="E3200" s="2153">
        <v>32091.272972504601</v>
      </c>
      <c r="F3200" s="2154">
        <v>3.92919961508405</v>
      </c>
      <c r="G3200" s="2155">
        <v>0.976658526692743</v>
      </c>
    </row>
    <row r="3201" spans="1:7" x14ac:dyDescent="0.25">
      <c r="A3201" s="11" t="s">
        <v>1033</v>
      </c>
      <c r="B3201" s="11"/>
      <c r="C3201" s="2156">
        <v>141</v>
      </c>
      <c r="D3201" s="2156">
        <v>134003.75325234601</v>
      </c>
      <c r="E3201" s="2157">
        <v>35397.168186004899</v>
      </c>
      <c r="F3201" s="2158">
        <v>3.9166605036641799</v>
      </c>
      <c r="G3201" s="2159">
        <v>0.99475356530252701</v>
      </c>
    </row>
    <row r="3202" spans="1:7" x14ac:dyDescent="0.25">
      <c r="A3202" s="6" t="s">
        <v>1003</v>
      </c>
      <c r="B3202" s="6"/>
      <c r="C3202" s="2152">
        <v>163</v>
      </c>
      <c r="D3202" s="2152">
        <v>133375.85448687599</v>
      </c>
      <c r="E3202" s="2153">
        <v>24821.176156037898</v>
      </c>
      <c r="F3202" s="2154">
        <v>3.89830828415294</v>
      </c>
      <c r="G3202" s="2155">
        <v>0.74043202591607504</v>
      </c>
    </row>
    <row r="3203" spans="1:7" x14ac:dyDescent="0.25">
      <c r="A3203" s="11" t="s">
        <v>1013</v>
      </c>
      <c r="B3203" s="11"/>
      <c r="C3203" s="2156">
        <v>190</v>
      </c>
      <c r="D3203" s="2156">
        <v>132794.93786731601</v>
      </c>
      <c r="E3203" s="2157">
        <v>13926.238059502801</v>
      </c>
      <c r="F3203" s="2158">
        <v>3.8813292583829102</v>
      </c>
      <c r="G3203" s="2159">
        <v>0.41932966753449802</v>
      </c>
    </row>
    <row r="3204" spans="1:7" x14ac:dyDescent="0.25">
      <c r="A3204" s="6" t="s">
        <v>1029</v>
      </c>
      <c r="B3204" s="6"/>
      <c r="C3204" s="2152">
        <v>167</v>
      </c>
      <c r="D3204" s="2152">
        <v>132522.96488809201</v>
      </c>
      <c r="E3204" s="2153">
        <v>32199.455846111701</v>
      </c>
      <c r="F3204" s="2154">
        <v>3.8733800345743301</v>
      </c>
      <c r="G3204" s="2155">
        <v>0.92152330196107202</v>
      </c>
    </row>
    <row r="3205" spans="1:7" x14ac:dyDescent="0.25">
      <c r="A3205" s="11" t="s">
        <v>992</v>
      </c>
      <c r="B3205" s="11"/>
      <c r="C3205" s="2156">
        <v>164</v>
      </c>
      <c r="D3205" s="2156">
        <v>131662.88989559299</v>
      </c>
      <c r="E3205" s="2157">
        <v>28829.652884886498</v>
      </c>
      <c r="F3205" s="2158">
        <v>3.8482417703723999</v>
      </c>
      <c r="G3205" s="2159">
        <v>0.81706577068953301</v>
      </c>
    </row>
    <row r="3206" spans="1:7" x14ac:dyDescent="0.25">
      <c r="A3206" s="6" t="s">
        <v>1019</v>
      </c>
      <c r="B3206" s="6"/>
      <c r="C3206" s="2152">
        <v>154</v>
      </c>
      <c r="D3206" s="2152">
        <v>129085.639056025</v>
      </c>
      <c r="E3206" s="2153">
        <v>25624.845691705199</v>
      </c>
      <c r="F3206" s="2154">
        <v>3.7729139058433701</v>
      </c>
      <c r="G3206" s="2155">
        <v>0.69979689059552597</v>
      </c>
    </row>
    <row r="3207" spans="1:7" x14ac:dyDescent="0.25">
      <c r="A3207" s="11" t="s">
        <v>1021</v>
      </c>
      <c r="B3207" s="11"/>
      <c r="C3207" s="2156">
        <v>124</v>
      </c>
      <c r="D3207" s="2156">
        <v>126131.87446767199</v>
      </c>
      <c r="E3207" s="2157">
        <v>31255.407078616001</v>
      </c>
      <c r="F3207" s="2158">
        <v>3.6865813008264299</v>
      </c>
      <c r="G3207" s="2159">
        <v>0.91666285764269395</v>
      </c>
    </row>
    <row r="3208" spans="1:7" x14ac:dyDescent="0.25">
      <c r="A3208" s="6" t="s">
        <v>1069</v>
      </c>
      <c r="B3208" s="6"/>
      <c r="C3208" s="2152">
        <v>165</v>
      </c>
      <c r="D3208" s="2152">
        <v>115631.069262844</v>
      </c>
      <c r="E3208" s="2153">
        <v>31868.0661794222</v>
      </c>
      <c r="F3208" s="2154">
        <v>3.3796638600516702</v>
      </c>
      <c r="G3208" s="2155">
        <v>0.94198538989737901</v>
      </c>
    </row>
    <row r="3209" spans="1:7" x14ac:dyDescent="0.25">
      <c r="A3209" s="11" t="s">
        <v>3058</v>
      </c>
      <c r="B3209" s="11"/>
      <c r="C3209" s="2156">
        <v>144</v>
      </c>
      <c r="D3209" s="2156">
        <v>114414.06189569</v>
      </c>
      <c r="E3209" s="2157">
        <v>33356.970391815499</v>
      </c>
      <c r="F3209" s="2158">
        <v>3.3440931795900499</v>
      </c>
      <c r="G3209" s="2159">
        <v>0.92628535851048799</v>
      </c>
    </row>
    <row r="3210" spans="1:7" x14ac:dyDescent="0.25">
      <c r="A3210" s="6" t="s">
        <v>990</v>
      </c>
      <c r="B3210" s="6"/>
      <c r="C3210" s="2152">
        <v>149</v>
      </c>
      <c r="D3210" s="2152">
        <v>114190.48741689901</v>
      </c>
      <c r="E3210" s="2153">
        <v>25940.8533427291</v>
      </c>
      <c r="F3210" s="2154">
        <v>3.3375585467200302</v>
      </c>
      <c r="G3210" s="2155">
        <v>0.733763642790772</v>
      </c>
    </row>
    <row r="3211" spans="1:7" x14ac:dyDescent="0.25">
      <c r="A3211" s="11" t="s">
        <v>1023</v>
      </c>
      <c r="B3211" s="11"/>
      <c r="C3211" s="2156">
        <v>150</v>
      </c>
      <c r="D3211" s="2156">
        <v>113542.144497143</v>
      </c>
      <c r="E3211" s="2157">
        <v>28491.9525785113</v>
      </c>
      <c r="F3211" s="2158">
        <v>3.3186087856498401</v>
      </c>
      <c r="G3211" s="2159">
        <v>0.83788325372989303</v>
      </c>
    </row>
    <row r="3212" spans="1:7" x14ac:dyDescent="0.25">
      <c r="A3212" s="6" t="s">
        <v>1179</v>
      </c>
      <c r="B3212" s="6"/>
      <c r="C3212" s="2152">
        <v>170</v>
      </c>
      <c r="D3212" s="2152">
        <v>107837.729698417</v>
      </c>
      <c r="E3212" s="2153">
        <v>26220.430982694001</v>
      </c>
      <c r="F3212" s="2154">
        <v>3.1518802008421298</v>
      </c>
      <c r="G3212" s="2155">
        <v>0.74343341906335003</v>
      </c>
    </row>
    <row r="3213" spans="1:7" x14ac:dyDescent="0.25">
      <c r="A3213" s="11" t="s">
        <v>1075</v>
      </c>
      <c r="B3213" s="11"/>
      <c r="C3213" s="2156">
        <v>140</v>
      </c>
      <c r="D3213" s="2156">
        <v>101144.87978782201</v>
      </c>
      <c r="E3213" s="2157">
        <v>38945.476765425301</v>
      </c>
      <c r="F3213" s="2158">
        <v>2.9562616434095199</v>
      </c>
      <c r="G3213" s="2159">
        <v>1.1708643786194</v>
      </c>
    </row>
    <row r="3214" spans="1:7" x14ac:dyDescent="0.25">
      <c r="A3214" s="6" t="s">
        <v>1015</v>
      </c>
      <c r="B3214" s="6"/>
      <c r="C3214" s="2152">
        <v>131</v>
      </c>
      <c r="D3214" s="2152">
        <v>96115.482348236706</v>
      </c>
      <c r="E3214" s="2153">
        <v>18677.476726646801</v>
      </c>
      <c r="F3214" s="2154">
        <v>2.8092624599481399</v>
      </c>
      <c r="G3214" s="2155">
        <v>0.51397793229868904</v>
      </c>
    </row>
    <row r="3215" spans="1:7" x14ac:dyDescent="0.25">
      <c r="A3215" s="11" t="s">
        <v>986</v>
      </c>
      <c r="B3215" s="11"/>
      <c r="C3215" s="2156">
        <v>160</v>
      </c>
      <c r="D3215" s="2156">
        <v>94422.659213912993</v>
      </c>
      <c r="E3215" s="2157">
        <v>18275.537929275499</v>
      </c>
      <c r="F3215" s="2158">
        <v>2.7597846404917799</v>
      </c>
      <c r="G3215" s="2159">
        <v>0.56247518863565005</v>
      </c>
    </row>
    <row r="3216" spans="1:7" x14ac:dyDescent="0.25">
      <c r="A3216" s="6" t="s">
        <v>1177</v>
      </c>
      <c r="B3216" s="6"/>
      <c r="C3216" s="2152">
        <v>153</v>
      </c>
      <c r="D3216" s="2152">
        <v>89659.402810408705</v>
      </c>
      <c r="E3216" s="2153">
        <v>14891.5392106531</v>
      </c>
      <c r="F3216" s="2154">
        <v>2.6205642248568601</v>
      </c>
      <c r="G3216" s="2155">
        <v>0.42970622692306598</v>
      </c>
    </row>
    <row r="3217" spans="1:7" x14ac:dyDescent="0.25">
      <c r="A3217" s="11" t="s">
        <v>3062</v>
      </c>
      <c r="B3217" s="11"/>
      <c r="C3217" s="2156">
        <v>196</v>
      </c>
      <c r="D3217" s="2156">
        <v>89151.862646552006</v>
      </c>
      <c r="E3217" s="2157">
        <v>28836.530381242599</v>
      </c>
      <c r="F3217" s="2158">
        <v>2.6057298454790101</v>
      </c>
      <c r="G3217" s="2159">
        <v>0.85982809204074995</v>
      </c>
    </row>
    <row r="3218" spans="1:7" x14ac:dyDescent="0.25">
      <c r="A3218" s="6" t="s">
        <v>1025</v>
      </c>
      <c r="B3218" s="6"/>
      <c r="C3218" s="2152">
        <v>117</v>
      </c>
      <c r="D3218" s="2152">
        <v>88854.685988223297</v>
      </c>
      <c r="E3218" s="2153">
        <v>25745.4147515164</v>
      </c>
      <c r="F3218" s="2154">
        <v>2.5970439687625899</v>
      </c>
      <c r="G3218" s="2155">
        <v>0.74384030404013701</v>
      </c>
    </row>
    <row r="3219" spans="1:7" x14ac:dyDescent="0.25">
      <c r="A3219" s="11" t="s">
        <v>1027</v>
      </c>
      <c r="B3219" s="11"/>
      <c r="C3219" s="2156">
        <v>143</v>
      </c>
      <c r="D3219" s="2156">
        <v>79590.688333053302</v>
      </c>
      <c r="E3219" s="2157">
        <v>24504.282343256</v>
      </c>
      <c r="F3219" s="2158">
        <v>2.3262759280069401</v>
      </c>
      <c r="G3219" s="2159">
        <v>0.72604401765892801</v>
      </c>
    </row>
    <row r="3220" spans="1:7" x14ac:dyDescent="0.25">
      <c r="A3220" s="6" t="s">
        <v>1073</v>
      </c>
      <c r="B3220" s="6"/>
      <c r="C3220" s="2152">
        <v>153</v>
      </c>
      <c r="D3220" s="2152">
        <v>71537.212878395803</v>
      </c>
      <c r="E3220" s="2153">
        <v>23938.4692175608</v>
      </c>
      <c r="F3220" s="2154">
        <v>2.0908890193202301</v>
      </c>
      <c r="G3220" s="2155">
        <v>0.71568731988619105</v>
      </c>
    </row>
    <row r="3221" spans="1:7" x14ac:dyDescent="0.25">
      <c r="A3221" s="11" t="s">
        <v>1031</v>
      </c>
      <c r="B3221" s="11"/>
      <c r="C3221" s="2156">
        <v>121</v>
      </c>
      <c r="D3221" s="2156">
        <v>71344.798275901499</v>
      </c>
      <c r="E3221" s="2157">
        <v>9129.8105282626802</v>
      </c>
      <c r="F3221" s="2158">
        <v>2.0852651270364202</v>
      </c>
      <c r="G3221" s="2159">
        <v>0.273884870297668</v>
      </c>
    </row>
    <row r="3222" spans="1:7" x14ac:dyDescent="0.25">
      <c r="A3222" s="6" t="s">
        <v>3054</v>
      </c>
      <c r="B3222" s="6"/>
      <c r="C3222" s="2152">
        <v>143</v>
      </c>
      <c r="D3222" s="2152">
        <v>62117.397615601898</v>
      </c>
      <c r="E3222" s="2153">
        <v>21387.124838514701</v>
      </c>
      <c r="F3222" s="2154">
        <v>1.8155667429200999</v>
      </c>
      <c r="G3222" s="2155">
        <v>0.63385263288941196</v>
      </c>
    </row>
    <row r="3223" spans="1:7" x14ac:dyDescent="0.25">
      <c r="A3223" s="11" t="s">
        <v>1077</v>
      </c>
      <c r="B3223" s="11"/>
      <c r="C3223" s="2156">
        <v>85</v>
      </c>
      <c r="D3223" s="2156">
        <v>60086.087854198602</v>
      </c>
      <c r="E3223" s="2157">
        <v>21047.294403225002</v>
      </c>
      <c r="F3223" s="2158">
        <v>1.75619563934949</v>
      </c>
      <c r="G3223" s="2159">
        <v>0.59135861555957903</v>
      </c>
    </row>
    <row r="3224" spans="1:7" x14ac:dyDescent="0.25">
      <c r="A3224" s="6" t="s">
        <v>1071</v>
      </c>
      <c r="B3224" s="6"/>
      <c r="C3224" s="2152">
        <v>109</v>
      </c>
      <c r="D3224" s="2152">
        <v>59836.5194753865</v>
      </c>
      <c r="E3224" s="2153">
        <v>17857.428614924</v>
      </c>
      <c r="F3224" s="2154">
        <v>1.7489012570017299</v>
      </c>
      <c r="G3224" s="2155">
        <v>0.496546289528704</v>
      </c>
    </row>
    <row r="3225" spans="1:7" x14ac:dyDescent="0.25">
      <c r="A3225" s="11" t="s">
        <v>1035</v>
      </c>
      <c r="B3225" s="11"/>
      <c r="C3225" s="2156">
        <v>122</v>
      </c>
      <c r="D3225" s="2156">
        <v>50121.140786809803</v>
      </c>
      <c r="E3225" s="2157">
        <v>14247.145045142201</v>
      </c>
      <c r="F3225" s="2158">
        <v>1.46494025543163</v>
      </c>
      <c r="G3225" s="2159">
        <v>0.40427433458025103</v>
      </c>
    </row>
    <row r="3226" spans="1:7" x14ac:dyDescent="0.25">
      <c r="A3226" s="6" t="s">
        <v>982</v>
      </c>
      <c r="B3226" s="6" t="s">
        <v>983</v>
      </c>
      <c r="C3226" s="2152">
        <v>940</v>
      </c>
      <c r="D3226" s="2152">
        <v>776298.76114973903</v>
      </c>
      <c r="E3226" s="2153">
        <v>76421.429726445902</v>
      </c>
      <c r="F3226" s="2154">
        <v>66.9574216333246</v>
      </c>
      <c r="G3226" s="2155">
        <v>2.9239760273030599</v>
      </c>
    </row>
    <row r="3227" spans="1:7" x14ac:dyDescent="0.25">
      <c r="A3227" s="11" t="s">
        <v>1168</v>
      </c>
      <c r="B3227" s="11"/>
      <c r="C3227" s="2156">
        <v>448</v>
      </c>
      <c r="D3227" s="2156">
        <v>349286.77266567101</v>
      </c>
      <c r="E3227" s="2157">
        <v>41966.842417690001</v>
      </c>
      <c r="F3227" s="2158">
        <v>30.126728108751099</v>
      </c>
      <c r="G3227" s="2159">
        <v>2.53220381428092</v>
      </c>
    </row>
    <row r="3228" spans="1:7" x14ac:dyDescent="0.25">
      <c r="A3228" s="6" t="s">
        <v>1169</v>
      </c>
      <c r="B3228" s="6"/>
      <c r="C3228" s="2152">
        <v>43</v>
      </c>
      <c r="D3228" s="2152">
        <v>28651.6659884576</v>
      </c>
      <c r="E3228" s="2153">
        <v>11983.4597155422</v>
      </c>
      <c r="F3228" s="2154">
        <v>2.4712672183645199</v>
      </c>
      <c r="G3228" s="2155">
        <v>0.99920103096014801</v>
      </c>
    </row>
    <row r="3229" spans="1:7" x14ac:dyDescent="0.25">
      <c r="A3229" s="11" t="s">
        <v>996</v>
      </c>
      <c r="B3229" s="11" t="s">
        <v>997</v>
      </c>
      <c r="C3229" s="2156">
        <v>7</v>
      </c>
      <c r="D3229" s="2156">
        <v>4522.7057516489403</v>
      </c>
      <c r="E3229" s="2157">
        <v>3010.3939384032401</v>
      </c>
      <c r="F3229" s="2158">
        <v>0.39009300425536497</v>
      </c>
      <c r="G3229" s="2159">
        <v>0.25967157542331398</v>
      </c>
    </row>
    <row r="3230" spans="1:7" x14ac:dyDescent="0.25">
      <c r="A3230" s="6" t="s">
        <v>978</v>
      </c>
      <c r="B3230" s="6" t="s">
        <v>979</v>
      </c>
      <c r="C3230" s="2152">
        <v>8</v>
      </c>
      <c r="D3230" s="2152">
        <v>631.75292402228501</v>
      </c>
      <c r="E3230" s="2153">
        <v>283.78979945622001</v>
      </c>
      <c r="F3230" s="2154">
        <v>5.4490035304444399E-2</v>
      </c>
      <c r="G3230" s="2155">
        <v>2.5123963034117E-2</v>
      </c>
    </row>
    <row r="3231" spans="1:7" x14ac:dyDescent="0.25">
      <c r="A3231" s="11" t="s">
        <v>6293</v>
      </c>
      <c r="B3231" s="11" t="s">
        <v>6294</v>
      </c>
      <c r="C3231" s="2156">
        <v>4740</v>
      </c>
      <c r="D3231" s="2156">
        <v>3421377.8071135101</v>
      </c>
      <c r="E3231" s="2157">
        <v>107480.097048158</v>
      </c>
      <c r="F3231" s="2158">
        <v>74.690023866340994</v>
      </c>
      <c r="G3231" s="2159">
        <v>2.1497057399518398</v>
      </c>
    </row>
    <row r="3232" spans="1:7" x14ac:dyDescent="0.25">
      <c r="A3232" s="6" t="s">
        <v>6293</v>
      </c>
      <c r="B3232" s="6" t="s">
        <v>6295</v>
      </c>
      <c r="C3232" s="2152">
        <v>6186</v>
      </c>
      <c r="D3232" s="2152">
        <v>4580769.4655930502</v>
      </c>
      <c r="E3232" s="2153">
        <v>0</v>
      </c>
      <c r="F3232" s="2154">
        <v>100</v>
      </c>
      <c r="G3232" s="2155">
        <v>0</v>
      </c>
    </row>
    <row r="3233" spans="1:7" x14ac:dyDescent="0.25">
      <c r="A3233" s="3353" t="s">
        <v>231</v>
      </c>
      <c r="B3233" s="3354"/>
      <c r="C3233" s="3354"/>
      <c r="D3233" s="3354"/>
      <c r="E3233" s="3354"/>
      <c r="F3233" s="3354"/>
      <c r="G3233" s="3354"/>
    </row>
    <row r="3234" spans="1:7" x14ac:dyDescent="0.25">
      <c r="A3234" s="11" t="s">
        <v>990</v>
      </c>
      <c r="B3234" s="11" t="s">
        <v>1218</v>
      </c>
      <c r="C3234" s="2164">
        <v>93</v>
      </c>
      <c r="D3234" s="2164">
        <v>77017.790291498095</v>
      </c>
      <c r="E3234" s="2165">
        <v>17837.4659913002</v>
      </c>
      <c r="F3234" s="2166">
        <v>74.809865372580703</v>
      </c>
      <c r="G3234" s="2167">
        <v>8.2876129065137896</v>
      </c>
    </row>
    <row r="3235" spans="1:7" x14ac:dyDescent="0.25">
      <c r="A3235" s="6" t="s">
        <v>988</v>
      </c>
      <c r="B3235" s="6" t="s">
        <v>1217</v>
      </c>
      <c r="C3235" s="2160">
        <v>23</v>
      </c>
      <c r="D3235" s="2160">
        <v>21687.4698729474</v>
      </c>
      <c r="E3235" s="2161">
        <v>8818.8903922448808</v>
      </c>
      <c r="F3235" s="2162">
        <v>21.065739426260699</v>
      </c>
      <c r="G3235" s="2163">
        <v>8.2233831831233495</v>
      </c>
    </row>
    <row r="3236" spans="1:7" x14ac:dyDescent="0.25">
      <c r="A3236" s="11" t="s">
        <v>986</v>
      </c>
      <c r="B3236" s="11" t="s">
        <v>1216</v>
      </c>
      <c r="C3236" s="2164">
        <v>12</v>
      </c>
      <c r="D3236" s="2164">
        <v>3873.2949892421798</v>
      </c>
      <c r="E3236" s="2165">
        <v>1724.4286177225899</v>
      </c>
      <c r="F3236" s="2166">
        <v>3.76225642928482</v>
      </c>
      <c r="G3236" s="2167">
        <v>1.7241195266599501</v>
      </c>
    </row>
    <row r="3237" spans="1:7" x14ac:dyDescent="0.25">
      <c r="A3237" s="6" t="s">
        <v>1005</v>
      </c>
      <c r="B3237" s="6" t="s">
        <v>1173</v>
      </c>
      <c r="C3237" s="2160">
        <v>6</v>
      </c>
      <c r="D3237" s="2160">
        <v>318.24257758404201</v>
      </c>
      <c r="E3237" s="2161">
        <v>167.40881752003401</v>
      </c>
      <c r="F3237" s="2162">
        <v>0.30911928652818399</v>
      </c>
      <c r="G3237" s="2163">
        <v>0.190830371096016</v>
      </c>
    </row>
    <row r="3238" spans="1:7" x14ac:dyDescent="0.25">
      <c r="A3238" s="11" t="s">
        <v>984</v>
      </c>
      <c r="B3238" s="11" t="s">
        <v>1215</v>
      </c>
      <c r="C3238" s="2164">
        <v>1</v>
      </c>
      <c r="D3238" s="2164">
        <v>54.584292905416099</v>
      </c>
      <c r="E3238" s="2165">
        <v>55.848860534719897</v>
      </c>
      <c r="F3238" s="2166">
        <v>5.3019485345614403E-2</v>
      </c>
      <c r="G3238" s="2167">
        <v>5.30790198613987E-2</v>
      </c>
    </row>
    <row r="3239" spans="1:7" x14ac:dyDescent="0.25">
      <c r="A3239" s="6" t="s">
        <v>982</v>
      </c>
      <c r="B3239" s="6" t="s">
        <v>983</v>
      </c>
      <c r="C3239" s="2160">
        <v>6046</v>
      </c>
      <c r="D3239" s="2160">
        <v>4476859.2695019497</v>
      </c>
      <c r="E3239" s="2161">
        <v>73518.133832904001</v>
      </c>
      <c r="F3239" s="2162">
        <v>99.978587471643607</v>
      </c>
      <c r="G3239" s="2163">
        <v>1.14676316112416E-2</v>
      </c>
    </row>
    <row r="3240" spans="1:7" x14ac:dyDescent="0.25">
      <c r="A3240" s="11" t="s">
        <v>996</v>
      </c>
      <c r="B3240" s="11" t="s">
        <v>997</v>
      </c>
      <c r="C3240" s="2164">
        <v>5</v>
      </c>
      <c r="D3240" s="2164">
        <v>958.81406689017194</v>
      </c>
      <c r="E3240" s="2165">
        <v>518.14394534279995</v>
      </c>
      <c r="F3240" s="2166">
        <v>2.1412528356355098E-2</v>
      </c>
      <c r="G3240" s="2167">
        <v>1.1467631611244899E-2</v>
      </c>
    </row>
    <row r="3241" spans="1:7" x14ac:dyDescent="0.25">
      <c r="A3241" s="6" t="s">
        <v>6293</v>
      </c>
      <c r="B3241" s="6" t="s">
        <v>6294</v>
      </c>
      <c r="C3241" s="2160">
        <v>135</v>
      </c>
      <c r="D3241" s="2160">
        <v>102951.382024177</v>
      </c>
      <c r="E3241" s="2161">
        <v>19495.963806038701</v>
      </c>
      <c r="F3241" s="2162">
        <v>2.2474691817054699</v>
      </c>
      <c r="G3241" s="2163">
        <v>0.42023817922664702</v>
      </c>
    </row>
    <row r="3242" spans="1:7" x14ac:dyDescent="0.25">
      <c r="A3242" s="11" t="s">
        <v>6293</v>
      </c>
      <c r="B3242" s="11" t="s">
        <v>6295</v>
      </c>
      <c r="C3242" s="2164">
        <v>6186</v>
      </c>
      <c r="D3242" s="2164">
        <v>4580769.4655930204</v>
      </c>
      <c r="E3242" s="2165">
        <v>0</v>
      </c>
      <c r="F3242" s="2166">
        <v>100</v>
      </c>
      <c r="G3242" s="2167">
        <v>0</v>
      </c>
    </row>
    <row r="3243" spans="1:7" x14ac:dyDescent="0.25">
      <c r="A3243" s="3353" t="s">
        <v>234</v>
      </c>
      <c r="B3243" s="3354"/>
      <c r="C3243" s="3354"/>
      <c r="D3243" s="3354"/>
      <c r="E3243" s="3354"/>
      <c r="F3243" s="3354"/>
      <c r="G3243" s="3354"/>
    </row>
    <row r="3244" spans="1:7" x14ac:dyDescent="0.25">
      <c r="A3244" s="11" t="s">
        <v>6607</v>
      </c>
      <c r="B3244" s="11"/>
      <c r="C3244" s="2172">
        <v>1</v>
      </c>
      <c r="D3244" s="2172">
        <v>157.68720832303401</v>
      </c>
      <c r="E3244" s="2173">
        <v>159.71253304187999</v>
      </c>
      <c r="F3244" s="2174">
        <v>49.549375045955898</v>
      </c>
      <c r="G3244" s="2175">
        <v>49.049716886417599</v>
      </c>
    </row>
    <row r="3245" spans="1:7" x14ac:dyDescent="0.25">
      <c r="A3245" s="6" t="s">
        <v>6608</v>
      </c>
      <c r="B3245" s="6"/>
      <c r="C3245" s="2168">
        <v>1</v>
      </c>
      <c r="D3245" s="2168">
        <v>75.485085010625994</v>
      </c>
      <c r="E3245" s="2169">
        <v>75.809392273515698</v>
      </c>
      <c r="F3245" s="2170">
        <v>23.7193544571175</v>
      </c>
      <c r="G3245" s="2171">
        <v>30.361352853947501</v>
      </c>
    </row>
    <row r="3246" spans="1:7" x14ac:dyDescent="0.25">
      <c r="A3246" s="11" t="s">
        <v>6609</v>
      </c>
      <c r="B3246" s="11"/>
      <c r="C3246" s="2172">
        <v>1</v>
      </c>
      <c r="D3246" s="2172">
        <v>48.235722613026098</v>
      </c>
      <c r="E3246" s="2173">
        <v>48.348646276604804</v>
      </c>
      <c r="F3246" s="2174">
        <v>15.1569042015718</v>
      </c>
      <c r="G3246" s="2175">
        <v>22.147747086775301</v>
      </c>
    </row>
    <row r="3247" spans="1:7" x14ac:dyDescent="0.25">
      <c r="A3247" s="6" t="s">
        <v>6610</v>
      </c>
      <c r="B3247" s="6"/>
      <c r="C3247" s="2168">
        <v>1</v>
      </c>
      <c r="D3247" s="2168">
        <v>36.834561637355598</v>
      </c>
      <c r="E3247" s="2169">
        <v>37.971499133659698</v>
      </c>
      <c r="F3247" s="2170">
        <v>11.5743662953548</v>
      </c>
      <c r="G3247" s="2171">
        <v>15.1775735916241</v>
      </c>
    </row>
    <row r="3248" spans="1:7" x14ac:dyDescent="0.25">
      <c r="A3248" s="11" t="s">
        <v>982</v>
      </c>
      <c r="B3248" s="11" t="s">
        <v>983</v>
      </c>
      <c r="C3248" s="2172">
        <v>6180</v>
      </c>
      <c r="D3248" s="2172">
        <v>4580451.2230154397</v>
      </c>
      <c r="E3248" s="2173">
        <v>75247.343069132694</v>
      </c>
      <c r="F3248" s="2174">
        <v>100</v>
      </c>
      <c r="G3248" s="2175">
        <v>0</v>
      </c>
    </row>
    <row r="3249" spans="1:7" x14ac:dyDescent="0.25">
      <c r="A3249" s="6" t="s">
        <v>6293</v>
      </c>
      <c r="B3249" s="6" t="s">
        <v>6294</v>
      </c>
      <c r="C3249" s="2168">
        <v>4</v>
      </c>
      <c r="D3249" s="2168">
        <v>318.24257758404201</v>
      </c>
      <c r="E3249" s="2169">
        <v>167.40881752003401</v>
      </c>
      <c r="F3249" s="2170">
        <v>6.9473606994287403E-3</v>
      </c>
      <c r="G3249" s="2171">
        <v>3.6271440552333202E-3</v>
      </c>
    </row>
    <row r="3250" spans="1:7" x14ac:dyDescent="0.25">
      <c r="A3250" s="11" t="s">
        <v>6293</v>
      </c>
      <c r="B3250" s="11" t="s">
        <v>6295</v>
      </c>
      <c r="C3250" s="2172">
        <v>6184</v>
      </c>
      <c r="D3250" s="2172">
        <v>4580769.4655930297</v>
      </c>
      <c r="E3250" s="2173">
        <v>0</v>
      </c>
      <c r="F3250" s="2174">
        <v>100</v>
      </c>
      <c r="G3250" s="2175">
        <v>0</v>
      </c>
    </row>
    <row r="3251" spans="1:7" x14ac:dyDescent="0.25">
      <c r="A3251" s="3353" t="s">
        <v>820</v>
      </c>
      <c r="B3251" s="3354"/>
      <c r="C3251" s="3354"/>
      <c r="D3251" s="3354"/>
      <c r="E3251" s="3354"/>
      <c r="F3251" s="3354"/>
      <c r="G3251" s="3354"/>
    </row>
    <row r="3252" spans="1:7" x14ac:dyDescent="0.25">
      <c r="A3252" s="11" t="s">
        <v>984</v>
      </c>
      <c r="B3252" s="11" t="s">
        <v>1061</v>
      </c>
      <c r="C3252" s="2180">
        <v>5317</v>
      </c>
      <c r="D3252" s="2180">
        <v>3814899.6543967701</v>
      </c>
      <c r="E3252" s="2181">
        <v>84801.470017877495</v>
      </c>
      <c r="F3252" s="2182">
        <v>83.697158329417604</v>
      </c>
      <c r="G3252" s="2183">
        <v>1.23019867552835</v>
      </c>
    </row>
    <row r="3253" spans="1:7" x14ac:dyDescent="0.25">
      <c r="A3253" s="6" t="s">
        <v>986</v>
      </c>
      <c r="B3253" s="6" t="s">
        <v>1062</v>
      </c>
      <c r="C3253" s="2176">
        <v>835</v>
      </c>
      <c r="D3253" s="2176">
        <v>743080.24664357898</v>
      </c>
      <c r="E3253" s="2177">
        <v>57229.159137198003</v>
      </c>
      <c r="F3253" s="2178">
        <v>16.302841670582399</v>
      </c>
      <c r="G3253" s="2179">
        <v>1.23019867552836</v>
      </c>
    </row>
    <row r="3254" spans="1:7" x14ac:dyDescent="0.25">
      <c r="A3254" s="11" t="s">
        <v>996</v>
      </c>
      <c r="B3254" s="11" t="s">
        <v>997</v>
      </c>
      <c r="C3254" s="2180">
        <v>29</v>
      </c>
      <c r="D3254" s="2180">
        <v>21825.084379050499</v>
      </c>
      <c r="E3254" s="2181">
        <v>6421.0179252706102</v>
      </c>
      <c r="F3254" s="2182">
        <v>95.767886782573598</v>
      </c>
      <c r="G3254" s="2183">
        <v>2.8443342992852201</v>
      </c>
    </row>
    <row r="3255" spans="1:7" x14ac:dyDescent="0.25">
      <c r="A3255" s="6" t="s">
        <v>980</v>
      </c>
      <c r="B3255" s="6" t="s">
        <v>1041</v>
      </c>
      <c r="C3255" s="2176">
        <v>4</v>
      </c>
      <c r="D3255" s="2176">
        <v>806.00161064810698</v>
      </c>
      <c r="E3255" s="2177">
        <v>633.08980168581104</v>
      </c>
      <c r="F3255" s="2178">
        <v>3.53671351984381</v>
      </c>
      <c r="G3255" s="2179">
        <v>2.8164695856019</v>
      </c>
    </row>
    <row r="3256" spans="1:7" x14ac:dyDescent="0.25">
      <c r="A3256" s="11" t="s">
        <v>978</v>
      </c>
      <c r="B3256" s="11" t="s">
        <v>1047</v>
      </c>
      <c r="C3256" s="2180">
        <v>1</v>
      </c>
      <c r="D3256" s="2180">
        <v>158.47856297970901</v>
      </c>
      <c r="E3256" s="2181">
        <v>179.11734767411301</v>
      </c>
      <c r="F3256" s="2182">
        <v>0.69539969758256803</v>
      </c>
      <c r="G3256" s="2183">
        <v>0.81497454356174903</v>
      </c>
    </row>
    <row r="3257" spans="1:7" x14ac:dyDescent="0.25">
      <c r="A3257" s="6" t="s">
        <v>6293</v>
      </c>
      <c r="B3257" s="6" t="s">
        <v>6294</v>
      </c>
      <c r="C3257" s="2176">
        <v>6152</v>
      </c>
      <c r="D3257" s="2176">
        <v>4557979.9010403501</v>
      </c>
      <c r="E3257" s="2177">
        <v>76040.141789105604</v>
      </c>
      <c r="F3257" s="2178">
        <v>99.502494837955595</v>
      </c>
      <c r="G3257" s="2179">
        <v>0.14557512137926701</v>
      </c>
    </row>
    <row r="3258" spans="1:7" x14ac:dyDescent="0.25">
      <c r="A3258" s="11" t="s">
        <v>6293</v>
      </c>
      <c r="B3258" s="11" t="s">
        <v>6295</v>
      </c>
      <c r="C3258" s="2180">
        <v>6186</v>
      </c>
      <c r="D3258" s="2180">
        <v>4580769.4655930297</v>
      </c>
      <c r="E3258" s="2181">
        <v>0</v>
      </c>
      <c r="F3258" s="2182">
        <v>100</v>
      </c>
      <c r="G3258" s="2183">
        <v>0</v>
      </c>
    </row>
    <row r="3259" spans="1:7" x14ac:dyDescent="0.25">
      <c r="A3259" s="3353" t="s">
        <v>817</v>
      </c>
      <c r="B3259" s="3354"/>
      <c r="C3259" s="3354"/>
      <c r="D3259" s="3354"/>
      <c r="E3259" s="3354"/>
      <c r="F3259" s="3354"/>
      <c r="G3259" s="3354"/>
    </row>
    <row r="3260" spans="1:7" x14ac:dyDescent="0.25">
      <c r="A3260" s="11" t="s">
        <v>1168</v>
      </c>
      <c r="B3260" s="11" t="s">
        <v>1047</v>
      </c>
      <c r="C3260" s="2188">
        <v>1231</v>
      </c>
      <c r="D3260" s="2188">
        <v>1121446.0970224401</v>
      </c>
      <c r="E3260" s="2189">
        <v>88564.141196430806</v>
      </c>
      <c r="F3260" s="2190">
        <v>57.663337630846797</v>
      </c>
      <c r="G3260" s="2191">
        <v>2.1386888327525599</v>
      </c>
    </row>
    <row r="3261" spans="1:7" x14ac:dyDescent="0.25">
      <c r="A3261" s="6" t="s">
        <v>982</v>
      </c>
      <c r="B3261" s="6" t="s">
        <v>983</v>
      </c>
      <c r="C3261" s="2184">
        <v>869</v>
      </c>
      <c r="D3261" s="2184">
        <v>765869.81119625701</v>
      </c>
      <c r="E3261" s="2185">
        <v>52583.9492081239</v>
      </c>
      <c r="F3261" s="2186">
        <v>39.380055467257101</v>
      </c>
      <c r="G3261" s="2187">
        <v>2.53075867637894</v>
      </c>
    </row>
    <row r="3262" spans="1:7" x14ac:dyDescent="0.25">
      <c r="A3262" s="11" t="s">
        <v>1169</v>
      </c>
      <c r="B3262" s="11" t="s">
        <v>981</v>
      </c>
      <c r="C3262" s="2188">
        <v>81</v>
      </c>
      <c r="D3262" s="2188">
        <v>55125.9128241613</v>
      </c>
      <c r="E3262" s="2189">
        <v>21852.624725115998</v>
      </c>
      <c r="F3262" s="2190">
        <v>2.83450460243087</v>
      </c>
      <c r="G3262" s="2191">
        <v>1.1311524077339601</v>
      </c>
    </row>
    <row r="3263" spans="1:7" x14ac:dyDescent="0.25">
      <c r="A3263" s="6" t="s">
        <v>978</v>
      </c>
      <c r="B3263" s="6" t="s">
        <v>1047</v>
      </c>
      <c r="C3263" s="2184">
        <v>3</v>
      </c>
      <c r="D3263" s="2184">
        <v>2374.6656506324298</v>
      </c>
      <c r="E3263" s="2185">
        <v>2176.37836444804</v>
      </c>
      <c r="F3263" s="2186">
        <v>0.12210229946527</v>
      </c>
      <c r="G3263" s="2187">
        <v>0.112666953214449</v>
      </c>
    </row>
    <row r="3264" spans="1:7" x14ac:dyDescent="0.25">
      <c r="A3264" s="11" t="s">
        <v>6293</v>
      </c>
      <c r="B3264" s="11" t="s">
        <v>6294</v>
      </c>
      <c r="C3264" s="2188">
        <v>3965</v>
      </c>
      <c r="D3264" s="2188">
        <v>2635952.9788995599</v>
      </c>
      <c r="E3264" s="2189">
        <v>102915.110310453</v>
      </c>
      <c r="F3264" s="2190">
        <v>57.543890796047599</v>
      </c>
      <c r="G3264" s="2191">
        <v>2.1627104438781299</v>
      </c>
    </row>
    <row r="3265" spans="1:7" x14ac:dyDescent="0.25">
      <c r="A3265" s="6" t="s">
        <v>6293</v>
      </c>
      <c r="B3265" s="6" t="s">
        <v>6295</v>
      </c>
      <c r="C3265" s="2184">
        <v>6149</v>
      </c>
      <c r="D3265" s="2184">
        <v>4580769.4655930502</v>
      </c>
      <c r="E3265" s="2185">
        <v>0</v>
      </c>
      <c r="F3265" s="2186">
        <v>100</v>
      </c>
      <c r="G3265" s="2187">
        <v>0</v>
      </c>
    </row>
    <row r="3266" spans="1:7" x14ac:dyDescent="0.25">
      <c r="A3266" s="3353" t="s">
        <v>838</v>
      </c>
      <c r="B3266" s="3354"/>
      <c r="C3266" s="3354"/>
      <c r="D3266" s="3354"/>
      <c r="E3266" s="3354"/>
      <c r="F3266" s="3354"/>
      <c r="G3266" s="3354"/>
    </row>
    <row r="3267" spans="1:7" x14ac:dyDescent="0.25">
      <c r="A3267" s="11" t="s">
        <v>984</v>
      </c>
      <c r="B3267" s="11" t="s">
        <v>1061</v>
      </c>
      <c r="C3267" s="2196">
        <v>1144</v>
      </c>
      <c r="D3267" s="2196">
        <v>630194.22917031404</v>
      </c>
      <c r="E3267" s="2197">
        <v>66624.7201906228</v>
      </c>
      <c r="F3267" s="2198">
        <v>100</v>
      </c>
      <c r="G3267" s="2199">
        <v>0</v>
      </c>
    </row>
    <row r="3268" spans="1:7" x14ac:dyDescent="0.25">
      <c r="A3268" s="6" t="s">
        <v>982</v>
      </c>
      <c r="B3268" s="6" t="s">
        <v>983</v>
      </c>
      <c r="C3268" s="2192">
        <v>5040</v>
      </c>
      <c r="D3268" s="2192">
        <v>3950456.7658439502</v>
      </c>
      <c r="E3268" s="2193">
        <v>70956.298937726402</v>
      </c>
      <c r="F3268" s="2194">
        <v>99.997001181557593</v>
      </c>
      <c r="G3268" s="2195">
        <v>3.1467610321710502E-3</v>
      </c>
    </row>
    <row r="3269" spans="1:7" x14ac:dyDescent="0.25">
      <c r="A3269" s="11" t="s">
        <v>980</v>
      </c>
      <c r="B3269" s="11" t="s">
        <v>1041</v>
      </c>
      <c r="C3269" s="2196">
        <v>1</v>
      </c>
      <c r="D3269" s="2196">
        <v>118.470578770202</v>
      </c>
      <c r="E3269" s="2197">
        <v>124.125318079249</v>
      </c>
      <c r="F3269" s="2198">
        <v>2.9988184423865799E-3</v>
      </c>
      <c r="G3269" s="2199">
        <v>3.1467610321707501E-3</v>
      </c>
    </row>
    <row r="3270" spans="1:7" x14ac:dyDescent="0.25">
      <c r="A3270" s="6" t="s">
        <v>6293</v>
      </c>
      <c r="B3270" s="6" t="s">
        <v>6294</v>
      </c>
      <c r="C3270" s="2192">
        <v>1144</v>
      </c>
      <c r="D3270" s="2192">
        <v>630194.22917031404</v>
      </c>
      <c r="E3270" s="2193">
        <v>66624.7201906228</v>
      </c>
      <c r="F3270" s="2194">
        <v>13.757388008801</v>
      </c>
      <c r="G3270" s="2195">
        <v>1.3548622673202699</v>
      </c>
    </row>
    <row r="3271" spans="1:7" x14ac:dyDescent="0.25">
      <c r="A3271" s="11" t="s">
        <v>6293</v>
      </c>
      <c r="B3271" s="11" t="s">
        <v>6295</v>
      </c>
      <c r="C3271" s="2196">
        <v>6185</v>
      </c>
      <c r="D3271" s="2196">
        <v>4580769.46559304</v>
      </c>
      <c r="E3271" s="2197">
        <v>0</v>
      </c>
      <c r="F3271" s="2198">
        <v>100</v>
      </c>
      <c r="G3271" s="2199">
        <v>0</v>
      </c>
    </row>
    <row r="3272" spans="1:7" x14ac:dyDescent="0.25">
      <c r="A3272" s="3353" t="s">
        <v>815</v>
      </c>
      <c r="B3272" s="3354"/>
      <c r="C3272" s="3354"/>
      <c r="D3272" s="3354"/>
      <c r="E3272" s="3354"/>
      <c r="F3272" s="3354"/>
      <c r="G3272" s="3354"/>
    </row>
    <row r="3273" spans="1:7" x14ac:dyDescent="0.25">
      <c r="A3273" s="11" t="s">
        <v>984</v>
      </c>
      <c r="B3273" s="11" t="s">
        <v>1163</v>
      </c>
      <c r="C3273" s="2204">
        <v>697</v>
      </c>
      <c r="D3273" s="2204">
        <v>488142.89111052698</v>
      </c>
      <c r="E3273" s="2205">
        <v>52280.455411878902</v>
      </c>
      <c r="F3273" s="2206">
        <v>42.201892089389297</v>
      </c>
      <c r="G3273" s="2207">
        <v>3.4380025378720802</v>
      </c>
    </row>
    <row r="3274" spans="1:7" x14ac:dyDescent="0.25">
      <c r="A3274" s="6" t="s">
        <v>986</v>
      </c>
      <c r="B3274" s="6" t="s">
        <v>1164</v>
      </c>
      <c r="C3274" s="2200">
        <v>343</v>
      </c>
      <c r="D3274" s="2200">
        <v>375696.81581932999</v>
      </c>
      <c r="E3274" s="2201">
        <v>33438.0354332672</v>
      </c>
      <c r="F3274" s="2202">
        <v>32.480482187222002</v>
      </c>
      <c r="G3274" s="2203">
        <v>2.1119149310729499</v>
      </c>
    </row>
    <row r="3275" spans="1:7" x14ac:dyDescent="0.25">
      <c r="A3275" s="11" t="s">
        <v>988</v>
      </c>
      <c r="B3275" s="11" t="s">
        <v>1165</v>
      </c>
      <c r="C3275" s="2204">
        <v>134</v>
      </c>
      <c r="D3275" s="2204">
        <v>149018.51494905099</v>
      </c>
      <c r="E3275" s="2205">
        <v>37649.178995329297</v>
      </c>
      <c r="F3275" s="2206">
        <v>12.883242594998601</v>
      </c>
      <c r="G3275" s="2207">
        <v>2.8977805242179402</v>
      </c>
    </row>
    <row r="3276" spans="1:7" x14ac:dyDescent="0.25">
      <c r="A3276" s="6" t="s">
        <v>992</v>
      </c>
      <c r="B3276" s="6" t="s">
        <v>6136</v>
      </c>
      <c r="C3276" s="2200">
        <v>49</v>
      </c>
      <c r="D3276" s="2200">
        <v>77641.797247915107</v>
      </c>
      <c r="E3276" s="2201">
        <v>17912.849295059699</v>
      </c>
      <c r="F3276" s="2202">
        <v>6.71244180495676</v>
      </c>
      <c r="G3276" s="2203">
        <v>1.3479547088058601</v>
      </c>
    </row>
    <row r="3277" spans="1:7" x14ac:dyDescent="0.25">
      <c r="A3277" s="11" t="s">
        <v>990</v>
      </c>
      <c r="B3277" s="11" t="s">
        <v>1166</v>
      </c>
      <c r="C3277" s="2204">
        <v>55</v>
      </c>
      <c r="D3277" s="2204">
        <v>66184.828264792493</v>
      </c>
      <c r="E3277" s="2205">
        <v>22292.625100128898</v>
      </c>
      <c r="F3277" s="2206">
        <v>5.7219413234333301</v>
      </c>
      <c r="G3277" s="2207">
        <v>1.9588113446458</v>
      </c>
    </row>
    <row r="3278" spans="1:7" x14ac:dyDescent="0.25">
      <c r="A3278" s="6" t="s">
        <v>982</v>
      </c>
      <c r="B3278" s="6" t="s">
        <v>983</v>
      </c>
      <c r="C3278" s="2200">
        <v>4871</v>
      </c>
      <c r="D3278" s="2200">
        <v>3401822.7900958001</v>
      </c>
      <c r="E3278" s="2201">
        <v>95231.613181269495</v>
      </c>
      <c r="F3278" s="2202">
        <v>99.349845854063204</v>
      </c>
      <c r="G3278" s="2203">
        <v>0.2383352770579</v>
      </c>
    </row>
    <row r="3279" spans="1:7" x14ac:dyDescent="0.25">
      <c r="A3279" s="11" t="s">
        <v>980</v>
      </c>
      <c r="B3279" s="11" t="s">
        <v>981</v>
      </c>
      <c r="C3279" s="2204">
        <v>13</v>
      </c>
      <c r="D3279" s="2204">
        <v>10962.7488154073</v>
      </c>
      <c r="E3279" s="2205">
        <v>8139.1339565440703</v>
      </c>
      <c r="F3279" s="2206">
        <v>0.32016582642649999</v>
      </c>
      <c r="G3279" s="2207">
        <v>0.238243826832855</v>
      </c>
    </row>
    <row r="3280" spans="1:7" x14ac:dyDescent="0.25">
      <c r="A3280" s="6" t="s">
        <v>978</v>
      </c>
      <c r="B3280" s="6" t="s">
        <v>979</v>
      </c>
      <c r="C3280" s="2200">
        <v>23</v>
      </c>
      <c r="D3280" s="2200">
        <v>10848.0638069792</v>
      </c>
      <c r="E3280" s="2201">
        <v>7467.2610259481598</v>
      </c>
      <c r="F3280" s="2202">
        <v>0.316816463860562</v>
      </c>
      <c r="G3280" s="2203">
        <v>0.218167271492611</v>
      </c>
    </row>
    <row r="3281" spans="1:7" x14ac:dyDescent="0.25">
      <c r="A3281" s="11" t="s">
        <v>996</v>
      </c>
      <c r="B3281" s="11" t="s">
        <v>997</v>
      </c>
      <c r="C3281" s="2204">
        <v>1</v>
      </c>
      <c r="D3281" s="2204">
        <v>451.01548323573297</v>
      </c>
      <c r="E3281" s="2205">
        <v>454.39414358868999</v>
      </c>
      <c r="F3281" s="2206">
        <v>1.31718556497777E-2</v>
      </c>
      <c r="G3281" s="2207">
        <v>1.32663625303895E-2</v>
      </c>
    </row>
    <row r="3282" spans="1:7" x14ac:dyDescent="0.25">
      <c r="A3282" s="6" t="s">
        <v>6293</v>
      </c>
      <c r="B3282" s="6" t="s">
        <v>6294</v>
      </c>
      <c r="C3282" s="2200">
        <v>1278</v>
      </c>
      <c r="D3282" s="2200">
        <v>1156684.84739161</v>
      </c>
      <c r="E3282" s="2201">
        <v>91961.140086314903</v>
      </c>
      <c r="F3282" s="2202">
        <v>25.250885382459799</v>
      </c>
      <c r="G3282" s="2203">
        <v>1.8956122706310801</v>
      </c>
    </row>
    <row r="3283" spans="1:7" x14ac:dyDescent="0.25">
      <c r="A3283" s="11" t="s">
        <v>6293</v>
      </c>
      <c r="B3283" s="11" t="s">
        <v>6295</v>
      </c>
      <c r="C3283" s="2204">
        <v>6186</v>
      </c>
      <c r="D3283" s="2204">
        <v>4580769.46559304</v>
      </c>
      <c r="E3283" s="2205">
        <v>0</v>
      </c>
      <c r="F3283" s="2206">
        <v>100</v>
      </c>
      <c r="G3283" s="2207">
        <v>0</v>
      </c>
    </row>
    <row r="3284" spans="1:7" x14ac:dyDescent="0.25">
      <c r="A3284" s="3353" t="s">
        <v>823</v>
      </c>
      <c r="B3284" s="3354"/>
      <c r="C3284" s="3354"/>
      <c r="D3284" s="3354"/>
      <c r="E3284" s="3354"/>
      <c r="F3284" s="3354"/>
      <c r="G3284" s="3354"/>
    </row>
    <row r="3285" spans="1:7" x14ac:dyDescent="0.25">
      <c r="A3285" s="11" t="s">
        <v>988</v>
      </c>
      <c r="B3285" s="11"/>
      <c r="C3285" s="2212">
        <v>77</v>
      </c>
      <c r="D3285" s="2212">
        <v>79425.283770855196</v>
      </c>
      <c r="E3285" s="2213">
        <v>22665.763527125298</v>
      </c>
      <c r="F3285" s="2214">
        <v>10.843669920894101</v>
      </c>
      <c r="G3285" s="2215">
        <v>3.0832615779744699</v>
      </c>
    </row>
    <row r="3286" spans="1:7" x14ac:dyDescent="0.25">
      <c r="A3286" s="6" t="s">
        <v>1013</v>
      </c>
      <c r="B3286" s="6"/>
      <c r="C3286" s="2208">
        <v>69</v>
      </c>
      <c r="D3286" s="2208">
        <v>77990.251304161706</v>
      </c>
      <c r="E3286" s="2209">
        <v>25178.714442459499</v>
      </c>
      <c r="F3286" s="2210">
        <v>10.6477497093972</v>
      </c>
      <c r="G3286" s="2211">
        <v>3.5165456941615698</v>
      </c>
    </row>
    <row r="3287" spans="1:7" x14ac:dyDescent="0.25">
      <c r="A3287" s="11" t="s">
        <v>986</v>
      </c>
      <c r="B3287" s="11"/>
      <c r="C3287" s="2212">
        <v>92</v>
      </c>
      <c r="D3287" s="2212">
        <v>74391.078952050695</v>
      </c>
      <c r="E3287" s="2213">
        <v>17865.626555389601</v>
      </c>
      <c r="F3287" s="2214">
        <v>10.1563666746535</v>
      </c>
      <c r="G3287" s="2215">
        <v>2.3457827283861699</v>
      </c>
    </row>
    <row r="3288" spans="1:7" x14ac:dyDescent="0.25">
      <c r="A3288" s="6" t="s">
        <v>994</v>
      </c>
      <c r="B3288" s="6"/>
      <c r="C3288" s="2208">
        <v>97</v>
      </c>
      <c r="D3288" s="2208">
        <v>72184.2916404227</v>
      </c>
      <c r="E3288" s="2209">
        <v>15762.7551050333</v>
      </c>
      <c r="F3288" s="2210">
        <v>9.8550813400999608</v>
      </c>
      <c r="G3288" s="2211">
        <v>2.08132391745389</v>
      </c>
    </row>
    <row r="3289" spans="1:7" x14ac:dyDescent="0.25">
      <c r="A3289" s="11" t="s">
        <v>984</v>
      </c>
      <c r="B3289" s="11"/>
      <c r="C3289" s="2212">
        <v>85</v>
      </c>
      <c r="D3289" s="2212">
        <v>71934.581794420097</v>
      </c>
      <c r="E3289" s="2213">
        <v>11749.704118011499</v>
      </c>
      <c r="F3289" s="2214">
        <v>9.8209892850578804</v>
      </c>
      <c r="G3289" s="2215">
        <v>1.433229855545</v>
      </c>
    </row>
    <row r="3290" spans="1:7" x14ac:dyDescent="0.25">
      <c r="A3290" s="6" t="s">
        <v>990</v>
      </c>
      <c r="B3290" s="6"/>
      <c r="C3290" s="2208">
        <v>70</v>
      </c>
      <c r="D3290" s="2208">
        <v>69315.755614525493</v>
      </c>
      <c r="E3290" s="2209">
        <v>19483.6153447754</v>
      </c>
      <c r="F3290" s="2210">
        <v>9.4634496537623694</v>
      </c>
      <c r="G3290" s="2211">
        <v>2.2406408007413399</v>
      </c>
    </row>
    <row r="3291" spans="1:7" x14ac:dyDescent="0.25">
      <c r="A3291" s="11" t="s">
        <v>1017</v>
      </c>
      <c r="B3291" s="11"/>
      <c r="C3291" s="2212">
        <v>80</v>
      </c>
      <c r="D3291" s="2212">
        <v>58323.442026196797</v>
      </c>
      <c r="E3291" s="2213">
        <v>13181.2660644275</v>
      </c>
      <c r="F3291" s="2214">
        <v>7.9627056266754304</v>
      </c>
      <c r="G3291" s="2215">
        <v>1.7296200401345601</v>
      </c>
    </row>
    <row r="3292" spans="1:7" x14ac:dyDescent="0.25">
      <c r="A3292" s="6" t="s">
        <v>992</v>
      </c>
      <c r="B3292" s="6"/>
      <c r="C3292" s="2208">
        <v>54</v>
      </c>
      <c r="D3292" s="2208">
        <v>52625.080325045499</v>
      </c>
      <c r="E3292" s="2209">
        <v>13631.892482654501</v>
      </c>
      <c r="F3292" s="2210">
        <v>7.1847272494697698</v>
      </c>
      <c r="G3292" s="2211">
        <v>1.6542599059574401</v>
      </c>
    </row>
    <row r="3293" spans="1:7" x14ac:dyDescent="0.25">
      <c r="A3293" s="11" t="s">
        <v>1174</v>
      </c>
      <c r="B3293" s="11"/>
      <c r="C3293" s="2212">
        <v>43</v>
      </c>
      <c r="D3293" s="2212">
        <v>49184.533313809203</v>
      </c>
      <c r="E3293" s="2213">
        <v>19316.8686931048</v>
      </c>
      <c r="F3293" s="2214">
        <v>6.7150008051198702</v>
      </c>
      <c r="G3293" s="2215">
        <v>2.6288259721520002</v>
      </c>
    </row>
    <row r="3294" spans="1:7" x14ac:dyDescent="0.25">
      <c r="A3294" s="6" t="s">
        <v>1003</v>
      </c>
      <c r="B3294" s="6"/>
      <c r="C3294" s="2208">
        <v>55</v>
      </c>
      <c r="D3294" s="2208">
        <v>47357.809839194597</v>
      </c>
      <c r="E3294" s="2209">
        <v>13657.4206933884</v>
      </c>
      <c r="F3294" s="2210">
        <v>6.4656043226015703</v>
      </c>
      <c r="G3294" s="2211">
        <v>1.5784740635010599</v>
      </c>
    </row>
    <row r="3295" spans="1:7" x14ac:dyDescent="0.25">
      <c r="A3295" s="11" t="s">
        <v>1019</v>
      </c>
      <c r="B3295" s="11"/>
      <c r="C3295" s="2212">
        <v>45</v>
      </c>
      <c r="D3295" s="2212">
        <v>39930.030094579502</v>
      </c>
      <c r="E3295" s="2213">
        <v>12334.3304274975</v>
      </c>
      <c r="F3295" s="2214">
        <v>5.4515142498725604</v>
      </c>
      <c r="G3295" s="2215">
        <v>1.7905339168663801</v>
      </c>
    </row>
    <row r="3296" spans="1:7" x14ac:dyDescent="0.25">
      <c r="A3296" s="6" t="s">
        <v>1015</v>
      </c>
      <c r="B3296" s="6"/>
      <c r="C3296" s="2208">
        <v>59</v>
      </c>
      <c r="D3296" s="2208">
        <v>39795.455020159803</v>
      </c>
      <c r="E3296" s="2209">
        <v>9762.2727218943292</v>
      </c>
      <c r="F3296" s="2210">
        <v>5.4331411623958203</v>
      </c>
      <c r="G3296" s="2211">
        <v>1.26153596883763</v>
      </c>
    </row>
    <row r="3297" spans="1:7" x14ac:dyDescent="0.25">
      <c r="A3297" s="11" t="s">
        <v>982</v>
      </c>
      <c r="B3297" s="11" t="s">
        <v>983</v>
      </c>
      <c r="C3297" s="2212">
        <v>5351</v>
      </c>
      <c r="D3297" s="2212">
        <v>3837689.2189494502</v>
      </c>
      <c r="E3297" s="2213">
        <v>87369.341220881397</v>
      </c>
      <c r="F3297" s="2214">
        <v>99.723965902407002</v>
      </c>
      <c r="G3297" s="2215">
        <v>0.19434421866564899</v>
      </c>
    </row>
    <row r="3298" spans="1:7" x14ac:dyDescent="0.25">
      <c r="A3298" s="6" t="s">
        <v>978</v>
      </c>
      <c r="B3298" s="6" t="s">
        <v>1047</v>
      </c>
      <c r="C3298" s="2208">
        <v>7</v>
      </c>
      <c r="D3298" s="2208">
        <v>9591.8070760028895</v>
      </c>
      <c r="E3298" s="2209">
        <v>7397.6005882674499</v>
      </c>
      <c r="F3298" s="2210">
        <v>0.24924713472541801</v>
      </c>
      <c r="G3298" s="2211">
        <v>0.19238782775996099</v>
      </c>
    </row>
    <row r="3299" spans="1:7" x14ac:dyDescent="0.25">
      <c r="A3299" s="11" t="s">
        <v>980</v>
      </c>
      <c r="B3299" s="11" t="s">
        <v>981</v>
      </c>
      <c r="C3299" s="2212">
        <v>2</v>
      </c>
      <c r="D3299" s="2212">
        <v>1030.8458721556599</v>
      </c>
      <c r="E3299" s="2213">
        <v>1033.2160199172599</v>
      </c>
      <c r="F3299" s="2214">
        <v>2.6786962867626E-2</v>
      </c>
      <c r="G3299" s="2215">
        <v>2.6863003913283501E-2</v>
      </c>
    </row>
    <row r="3300" spans="1:7" x14ac:dyDescent="0.25">
      <c r="A3300" s="6" t="s">
        <v>6293</v>
      </c>
      <c r="B3300" s="6" t="s">
        <v>6294</v>
      </c>
      <c r="C3300" s="2208">
        <v>826</v>
      </c>
      <c r="D3300" s="2208">
        <v>732457.593695421</v>
      </c>
      <c r="E3300" s="2209">
        <v>55574.790950832903</v>
      </c>
      <c r="F3300" s="2210">
        <v>15.989837497761901</v>
      </c>
      <c r="G3300" s="2211">
        <v>1.2047355916270599</v>
      </c>
    </row>
    <row r="3301" spans="1:7" x14ac:dyDescent="0.25">
      <c r="A3301" s="11" t="s">
        <v>6293</v>
      </c>
      <c r="B3301" s="11" t="s">
        <v>6295</v>
      </c>
      <c r="C3301" s="2212">
        <v>6186</v>
      </c>
      <c r="D3301" s="2212">
        <v>4580769.4655930297</v>
      </c>
      <c r="E3301" s="2213">
        <v>0</v>
      </c>
      <c r="F3301" s="2214">
        <v>100</v>
      </c>
      <c r="G3301" s="2215">
        <v>0</v>
      </c>
    </row>
    <row r="3302" spans="1:7" x14ac:dyDescent="0.25">
      <c r="A3302" s="3353" t="s">
        <v>183</v>
      </c>
      <c r="B3302" s="3354"/>
      <c r="C3302" s="3354"/>
      <c r="D3302" s="3354"/>
      <c r="E3302" s="3354"/>
      <c r="F3302" s="3354"/>
      <c r="G3302" s="3354"/>
    </row>
    <row r="3303" spans="1:7" x14ac:dyDescent="0.25">
      <c r="A3303" s="11" t="s">
        <v>982</v>
      </c>
      <c r="B3303" s="11" t="s">
        <v>983</v>
      </c>
      <c r="C3303" s="2220">
        <v>5351</v>
      </c>
      <c r="D3303" s="2220">
        <v>3837689.2189494502</v>
      </c>
      <c r="E3303" s="2221">
        <v>87369.341220881397</v>
      </c>
      <c r="F3303" s="2222">
        <v>96.534251753897493</v>
      </c>
      <c r="G3303" s="2223">
        <v>0.476710850300744</v>
      </c>
    </row>
    <row r="3304" spans="1:7" x14ac:dyDescent="0.25">
      <c r="A3304" s="6" t="s">
        <v>1168</v>
      </c>
      <c r="B3304" s="6" t="s">
        <v>1047</v>
      </c>
      <c r="C3304" s="2216">
        <v>132</v>
      </c>
      <c r="D3304" s="2216">
        <v>125630.982747113</v>
      </c>
      <c r="E3304" s="2217">
        <v>18371.2759762227</v>
      </c>
      <c r="F3304" s="2218">
        <v>3.1601550372333902</v>
      </c>
      <c r="G3304" s="2219">
        <v>0.48022348358628197</v>
      </c>
    </row>
    <row r="3305" spans="1:7" x14ac:dyDescent="0.25">
      <c r="A3305" s="11" t="s">
        <v>1169</v>
      </c>
      <c r="B3305" s="11" t="s">
        <v>981</v>
      </c>
      <c r="C3305" s="2220">
        <v>12</v>
      </c>
      <c r="D3305" s="2220">
        <v>12006.672915859501</v>
      </c>
      <c r="E3305" s="2221">
        <v>7162.9622889810698</v>
      </c>
      <c r="F3305" s="2222">
        <v>0.302019032771905</v>
      </c>
      <c r="G3305" s="2223">
        <v>0.177963743256044</v>
      </c>
    </row>
    <row r="3306" spans="1:7" x14ac:dyDescent="0.25">
      <c r="A3306" s="6" t="s">
        <v>980</v>
      </c>
      <c r="B3306" s="6" t="s">
        <v>1041</v>
      </c>
      <c r="C3306" s="2216">
        <v>1</v>
      </c>
      <c r="D3306" s="2216">
        <v>105.115793865448</v>
      </c>
      <c r="E3306" s="2217">
        <v>109.957083312455</v>
      </c>
      <c r="F3306" s="2218">
        <v>2.6441105387620999E-3</v>
      </c>
      <c r="G3306" s="2219">
        <v>2.7793275408682502E-3</v>
      </c>
    </row>
    <row r="3307" spans="1:7" x14ac:dyDescent="0.25">
      <c r="A3307" s="11" t="s">
        <v>978</v>
      </c>
      <c r="B3307" s="11" t="s">
        <v>1047</v>
      </c>
      <c r="C3307" s="2220">
        <v>1</v>
      </c>
      <c r="D3307" s="2220">
        <v>36.9744676293532</v>
      </c>
      <c r="E3307" s="2221">
        <v>39.569706608651799</v>
      </c>
      <c r="F3307" s="2222">
        <v>9.3006555845483304E-4</v>
      </c>
      <c r="G3307" s="2223">
        <v>9.9725603440507403E-4</v>
      </c>
    </row>
    <row r="3308" spans="1:7" x14ac:dyDescent="0.25">
      <c r="A3308" s="6" t="s">
        <v>6293</v>
      </c>
      <c r="B3308" s="6" t="s">
        <v>6294</v>
      </c>
      <c r="C3308" s="2216">
        <v>657</v>
      </c>
      <c r="D3308" s="2216">
        <v>605300.50071911199</v>
      </c>
      <c r="E3308" s="2217">
        <v>60569.883249478997</v>
      </c>
      <c r="F3308" s="2218">
        <v>13.2139481208481</v>
      </c>
      <c r="G3308" s="2219">
        <v>1.2987581913309001</v>
      </c>
    </row>
    <row r="3309" spans="1:7" x14ac:dyDescent="0.25">
      <c r="A3309" s="11" t="s">
        <v>6293</v>
      </c>
      <c r="B3309" s="11" t="s">
        <v>6295</v>
      </c>
      <c r="C3309" s="2220">
        <v>6154</v>
      </c>
      <c r="D3309" s="2220">
        <v>4580769.4655930297</v>
      </c>
      <c r="E3309" s="2221">
        <v>0</v>
      </c>
      <c r="F3309" s="2222">
        <v>100</v>
      </c>
      <c r="G3309" s="2223">
        <v>0</v>
      </c>
    </row>
    <row r="3310" spans="1:7" x14ac:dyDescent="0.25">
      <c r="A3310" s="3353" t="s">
        <v>835</v>
      </c>
      <c r="B3310" s="3354"/>
      <c r="C3310" s="3354"/>
      <c r="D3310" s="3354"/>
      <c r="E3310" s="3354"/>
      <c r="F3310" s="3354"/>
      <c r="G3310" s="3354"/>
    </row>
    <row r="3311" spans="1:7" x14ac:dyDescent="0.25">
      <c r="A3311" s="11" t="s">
        <v>984</v>
      </c>
      <c r="B3311" s="11" t="s">
        <v>1061</v>
      </c>
      <c r="C3311" s="2228">
        <v>270</v>
      </c>
      <c r="D3311" s="2228">
        <v>184768.43748845099</v>
      </c>
      <c r="E3311" s="2229">
        <v>25737.040221940799</v>
      </c>
      <c r="F3311" s="2230">
        <v>100</v>
      </c>
      <c r="G3311" s="2231">
        <v>0</v>
      </c>
    </row>
    <row r="3312" spans="1:7" x14ac:dyDescent="0.25">
      <c r="A3312" s="6" t="s">
        <v>982</v>
      </c>
      <c r="B3312" s="6" t="s">
        <v>983</v>
      </c>
      <c r="C3312" s="2224">
        <v>5916</v>
      </c>
      <c r="D3312" s="2224">
        <v>4396001.02810458</v>
      </c>
      <c r="E3312" s="2225">
        <v>70302.037246609005</v>
      </c>
      <c r="F3312" s="2226">
        <v>100</v>
      </c>
      <c r="G3312" s="2227">
        <v>0</v>
      </c>
    </row>
    <row r="3313" spans="1:7" x14ac:dyDescent="0.25">
      <c r="A3313" s="11" t="s">
        <v>6293</v>
      </c>
      <c r="B3313" s="11" t="s">
        <v>6294</v>
      </c>
      <c r="C3313" s="2228">
        <v>270</v>
      </c>
      <c r="D3313" s="2228">
        <v>184768.43748845099</v>
      </c>
      <c r="E3313" s="2229">
        <v>25737.040221940799</v>
      </c>
      <c r="F3313" s="2230">
        <v>4.0335676980969897</v>
      </c>
      <c r="G3313" s="2231">
        <v>0.54253826669831595</v>
      </c>
    </row>
    <row r="3314" spans="1:7" x14ac:dyDescent="0.25">
      <c r="A3314" s="6" t="s">
        <v>6293</v>
      </c>
      <c r="B3314" s="6" t="s">
        <v>6295</v>
      </c>
      <c r="C3314" s="2224">
        <v>6186</v>
      </c>
      <c r="D3314" s="2224">
        <v>4580769.4655930297</v>
      </c>
      <c r="E3314" s="2225">
        <v>0</v>
      </c>
      <c r="F3314" s="2226">
        <v>100</v>
      </c>
      <c r="G3314" s="2227">
        <v>0</v>
      </c>
    </row>
    <row r="3315" spans="1:7" x14ac:dyDescent="0.25">
      <c r="A3315" s="3353" t="s">
        <v>180</v>
      </c>
      <c r="B3315" s="3354"/>
      <c r="C3315" s="3354"/>
      <c r="D3315" s="3354"/>
      <c r="E3315" s="3354"/>
      <c r="F3315" s="3354"/>
      <c r="G3315" s="3354"/>
    </row>
    <row r="3316" spans="1:7" x14ac:dyDescent="0.25">
      <c r="A3316" s="11" t="s">
        <v>984</v>
      </c>
      <c r="B3316" s="11" t="s">
        <v>1163</v>
      </c>
      <c r="C3316" s="2236">
        <v>100</v>
      </c>
      <c r="D3316" s="2236">
        <v>92290.409253004997</v>
      </c>
      <c r="E3316" s="2237">
        <v>19481.456370517299</v>
      </c>
      <c r="F3316" s="2238">
        <v>67.502070483895906</v>
      </c>
      <c r="G3316" s="2239">
        <v>8.6845794102951306</v>
      </c>
    </row>
    <row r="3317" spans="1:7" x14ac:dyDescent="0.25">
      <c r="A3317" s="6" t="s">
        <v>986</v>
      </c>
      <c r="B3317" s="6" t="s">
        <v>1164</v>
      </c>
      <c r="C3317" s="2232">
        <v>24</v>
      </c>
      <c r="D3317" s="2232">
        <v>16168.9632765683</v>
      </c>
      <c r="E3317" s="2233">
        <v>7884.1766657345597</v>
      </c>
      <c r="F3317" s="2234">
        <v>11.8261313128904</v>
      </c>
      <c r="G3317" s="2235">
        <v>5.42108724802375</v>
      </c>
    </row>
    <row r="3318" spans="1:7" x14ac:dyDescent="0.25">
      <c r="A3318" s="11" t="s">
        <v>988</v>
      </c>
      <c r="B3318" s="11" t="s">
        <v>1165</v>
      </c>
      <c r="C3318" s="2236">
        <v>8</v>
      </c>
      <c r="D3318" s="2236">
        <v>15518.962555427001</v>
      </c>
      <c r="E3318" s="2237">
        <v>8991.0772164929804</v>
      </c>
      <c r="F3318" s="2238">
        <v>11.350714692158199</v>
      </c>
      <c r="G3318" s="2239">
        <v>6.87359281750122</v>
      </c>
    </row>
    <row r="3319" spans="1:7" x14ac:dyDescent="0.25">
      <c r="A3319" s="6" t="s">
        <v>992</v>
      </c>
      <c r="B3319" s="6" t="s">
        <v>1167</v>
      </c>
      <c r="C3319" s="2232">
        <v>11</v>
      </c>
      <c r="D3319" s="2232">
        <v>12563.810920346999</v>
      </c>
      <c r="E3319" s="2233">
        <v>7810.2913297046298</v>
      </c>
      <c r="F3319" s="2234">
        <v>9.1892890838382204</v>
      </c>
      <c r="G3319" s="2235">
        <v>5.8890637573879498</v>
      </c>
    </row>
    <row r="3320" spans="1:7" x14ac:dyDescent="0.25">
      <c r="A3320" s="11" t="s">
        <v>990</v>
      </c>
      <c r="B3320" s="11" t="s">
        <v>1166</v>
      </c>
      <c r="C3320" s="2236">
        <v>1</v>
      </c>
      <c r="D3320" s="2236">
        <v>180.19242280946801</v>
      </c>
      <c r="E3320" s="2237">
        <v>194.41781306728799</v>
      </c>
      <c r="F3320" s="2238">
        <v>0.13179442721728599</v>
      </c>
      <c r="G3320" s="2239">
        <v>0.139052183835427</v>
      </c>
    </row>
    <row r="3321" spans="1:7" x14ac:dyDescent="0.25">
      <c r="A3321" s="6" t="s">
        <v>982</v>
      </c>
      <c r="B3321" s="6" t="s">
        <v>983</v>
      </c>
      <c r="C3321" s="2232">
        <v>6040</v>
      </c>
      <c r="D3321" s="2232">
        <v>4442989.7196685597</v>
      </c>
      <c r="E3321" s="2233">
        <v>81649.661748756902</v>
      </c>
      <c r="F3321" s="2234">
        <v>99.9762062042536</v>
      </c>
      <c r="G3321" s="2235">
        <v>2.2041472851242801E-2</v>
      </c>
    </row>
    <row r="3322" spans="1:7" x14ac:dyDescent="0.25">
      <c r="A3322" s="11" t="s">
        <v>978</v>
      </c>
      <c r="B3322" s="11" t="s">
        <v>979</v>
      </c>
      <c r="C3322" s="2236">
        <v>1</v>
      </c>
      <c r="D3322" s="2236">
        <v>952.29170244556303</v>
      </c>
      <c r="E3322" s="2237">
        <v>983.02680966827802</v>
      </c>
      <c r="F3322" s="2238">
        <v>2.14284789336401E-2</v>
      </c>
      <c r="G3322" s="2239">
        <v>2.2163345059078798E-2</v>
      </c>
    </row>
    <row r="3323" spans="1:7" x14ac:dyDescent="0.25">
      <c r="A3323" s="6" t="s">
        <v>980</v>
      </c>
      <c r="B3323" s="6" t="s">
        <v>981</v>
      </c>
      <c r="C3323" s="2232">
        <v>1</v>
      </c>
      <c r="D3323" s="2232">
        <v>105.115793865448</v>
      </c>
      <c r="E3323" s="2233">
        <v>109.957083312455</v>
      </c>
      <c r="F3323" s="2234">
        <v>2.3653168127518902E-3</v>
      </c>
      <c r="G3323" s="2235">
        <v>2.4780430382995199E-3</v>
      </c>
    </row>
    <row r="3324" spans="1:7" x14ac:dyDescent="0.25">
      <c r="A3324" s="11" t="s">
        <v>6293</v>
      </c>
      <c r="B3324" s="11" t="s">
        <v>6294</v>
      </c>
      <c r="C3324" s="2236">
        <v>144</v>
      </c>
      <c r="D3324" s="2236">
        <v>136722.338428157</v>
      </c>
      <c r="E3324" s="2237">
        <v>18938.492544664699</v>
      </c>
      <c r="F3324" s="2238">
        <v>2.9847024491213201</v>
      </c>
      <c r="G3324" s="2239">
        <v>0.42779418429243898</v>
      </c>
    </row>
    <row r="3325" spans="1:7" x14ac:dyDescent="0.25">
      <c r="A3325" s="6" t="s">
        <v>6293</v>
      </c>
      <c r="B3325" s="6" t="s">
        <v>6295</v>
      </c>
      <c r="C3325" s="2232">
        <v>6186</v>
      </c>
      <c r="D3325" s="2232">
        <v>4580769.4655930297</v>
      </c>
      <c r="E3325" s="2233">
        <v>0</v>
      </c>
      <c r="F3325" s="2234">
        <v>100</v>
      </c>
      <c r="G3325" s="2235">
        <v>0</v>
      </c>
    </row>
    <row r="3326" spans="1:7" x14ac:dyDescent="0.25">
      <c r="A3326" s="3353" t="s">
        <v>39</v>
      </c>
      <c r="B3326" s="3354"/>
      <c r="C3326" s="3354"/>
      <c r="D3326" s="3354"/>
      <c r="E3326" s="3354"/>
      <c r="F3326" s="3354"/>
      <c r="G3326" s="3354"/>
    </row>
    <row r="3327" spans="1:7" x14ac:dyDescent="0.25">
      <c r="A3327" s="11" t="s">
        <v>982</v>
      </c>
      <c r="B3327" s="11" t="s">
        <v>983</v>
      </c>
      <c r="C3327" s="2244">
        <v>1467</v>
      </c>
      <c r="D3327" s="2244">
        <v>1318726.3967698901</v>
      </c>
      <c r="E3327" s="2245">
        <v>97934.038634381897</v>
      </c>
      <c r="F3327" s="2246">
        <v>98.371932396035604</v>
      </c>
      <c r="G3327" s="2247">
        <v>0.50053483990248204</v>
      </c>
    </row>
    <row r="3328" spans="1:7" x14ac:dyDescent="0.25">
      <c r="A3328" s="6" t="s">
        <v>996</v>
      </c>
      <c r="B3328" s="6" t="s">
        <v>997</v>
      </c>
      <c r="C3328" s="2240">
        <v>29</v>
      </c>
      <c r="D3328" s="2240">
        <v>21825.084379050499</v>
      </c>
      <c r="E3328" s="2241">
        <v>6421.0179252706102</v>
      </c>
      <c r="F3328" s="2242">
        <v>1.62806760396438</v>
      </c>
      <c r="G3328" s="2243">
        <v>0.50053483990247405</v>
      </c>
    </row>
    <row r="3329" spans="1:7" x14ac:dyDescent="0.25">
      <c r="A3329" s="11" t="s">
        <v>6293</v>
      </c>
      <c r="B3329" s="11" t="s">
        <v>6294</v>
      </c>
      <c r="C3329" s="2244">
        <v>4621</v>
      </c>
      <c r="D3329" s="2244">
        <v>3240217.9844441102</v>
      </c>
      <c r="E3329" s="2245">
        <v>102268.91135470899</v>
      </c>
      <c r="F3329" s="2246">
        <v>70.735233649760104</v>
      </c>
      <c r="G3329" s="2247">
        <v>2.0318717533341299</v>
      </c>
    </row>
    <row r="3330" spans="1:7" x14ac:dyDescent="0.25">
      <c r="A3330" s="6" t="s">
        <v>6293</v>
      </c>
      <c r="B3330" s="6" t="s">
        <v>6295</v>
      </c>
      <c r="C3330" s="2240">
        <v>6117</v>
      </c>
      <c r="D3330" s="2240">
        <v>4580769.4655930502</v>
      </c>
      <c r="E3330" s="2241">
        <v>0</v>
      </c>
      <c r="F3330" s="2242">
        <v>100</v>
      </c>
      <c r="G3330" s="2243">
        <v>0</v>
      </c>
    </row>
    <row r="3331" spans="1:7" x14ac:dyDescent="0.25">
      <c r="A3331" s="3353" t="s">
        <v>297</v>
      </c>
      <c r="B3331" s="3354"/>
      <c r="C3331" s="3354"/>
      <c r="D3331" s="3354"/>
      <c r="E3331" s="3354"/>
      <c r="F3331" s="3354"/>
      <c r="G3331" s="3354"/>
    </row>
    <row r="3332" spans="1:7" x14ac:dyDescent="0.25">
      <c r="A3332" s="11" t="s">
        <v>986</v>
      </c>
      <c r="B3332" s="11" t="s">
        <v>1062</v>
      </c>
      <c r="C3332" s="2252">
        <v>6046</v>
      </c>
      <c r="D3332" s="2252">
        <v>4476859.2695019497</v>
      </c>
      <c r="E3332" s="2253">
        <v>73518.133832904001</v>
      </c>
      <c r="F3332" s="2254">
        <v>97.731599529914007</v>
      </c>
      <c r="G3332" s="2255">
        <v>0.42050242561780399</v>
      </c>
    </row>
    <row r="3333" spans="1:7" x14ac:dyDescent="0.25">
      <c r="A3333" s="6" t="s">
        <v>984</v>
      </c>
      <c r="B3333" s="6" t="s">
        <v>1061</v>
      </c>
      <c r="C3333" s="2248">
        <v>140</v>
      </c>
      <c r="D3333" s="2248">
        <v>103910.196091067</v>
      </c>
      <c r="E3333" s="2249">
        <v>19534.6731911805</v>
      </c>
      <c r="F3333" s="2250">
        <v>2.2684004700859899</v>
      </c>
      <c r="G3333" s="2251">
        <v>0.42050242561780399</v>
      </c>
    </row>
    <row r="3334" spans="1:7" x14ac:dyDescent="0.25">
      <c r="A3334" s="11" t="s">
        <v>6293</v>
      </c>
      <c r="B3334" s="11" t="s">
        <v>6294</v>
      </c>
      <c r="C3334" s="2252">
        <v>6186</v>
      </c>
      <c r="D3334" s="2252">
        <v>4580769.4655930204</v>
      </c>
      <c r="E3334" s="2253">
        <v>75300.973504308698</v>
      </c>
      <c r="F3334" s="2254">
        <v>100</v>
      </c>
      <c r="G3334" s="2255">
        <v>3.2504001921624901E-14</v>
      </c>
    </row>
    <row r="3335" spans="1:7" x14ac:dyDescent="0.25">
      <c r="A3335" s="6" t="s">
        <v>6293</v>
      </c>
      <c r="B3335" s="6" t="s">
        <v>6295</v>
      </c>
      <c r="C3335" s="2248">
        <v>6186</v>
      </c>
      <c r="D3335" s="2248">
        <v>4580769.4655930204</v>
      </c>
      <c r="E3335" s="2249">
        <v>0</v>
      </c>
      <c r="F3335" s="2250">
        <v>100</v>
      </c>
      <c r="G3335" s="2251">
        <v>0</v>
      </c>
    </row>
    <row r="3336" spans="1:7" x14ac:dyDescent="0.25">
      <c r="A3336" s="3355" t="s">
        <v>1154</v>
      </c>
      <c r="B3336" s="3354"/>
      <c r="C3336" s="3354"/>
      <c r="D3336" s="3354"/>
      <c r="E3336" s="3354"/>
      <c r="F3336" s="3354"/>
      <c r="G3336" s="3354"/>
    </row>
    <row r="3337" spans="1:7" x14ac:dyDescent="0.25">
      <c r="A3337" s="3353" t="s">
        <v>273</v>
      </c>
      <c r="B3337" s="3354"/>
      <c r="C3337" s="3354"/>
      <c r="D3337" s="3354"/>
      <c r="E3337" s="3354"/>
      <c r="F3337" s="3354"/>
      <c r="G3337" s="3354"/>
    </row>
    <row r="3338" spans="1:7" x14ac:dyDescent="0.25">
      <c r="A3338" s="11" t="s">
        <v>6293</v>
      </c>
      <c r="B3338" s="11" t="s">
        <v>6294</v>
      </c>
      <c r="C3338" s="2260">
        <v>16343</v>
      </c>
      <c r="D3338" s="2260">
        <v>5463614693.3948698</v>
      </c>
      <c r="E3338" s="2261">
        <v>72575038.8209133</v>
      </c>
      <c r="F3338" s="2262">
        <v>100</v>
      </c>
      <c r="G3338" s="2263">
        <v>2.29838001744816E-14</v>
      </c>
    </row>
    <row r="3339" spans="1:7" x14ac:dyDescent="0.25">
      <c r="A3339" s="6" t="s">
        <v>6293</v>
      </c>
      <c r="B3339" s="6" t="s">
        <v>6295</v>
      </c>
      <c r="C3339" s="2256">
        <v>16343</v>
      </c>
      <c r="D3339" s="2256">
        <v>5463614693.3948698</v>
      </c>
      <c r="E3339" s="2257">
        <v>0</v>
      </c>
      <c r="F3339" s="2258">
        <v>100</v>
      </c>
      <c r="G3339" s="2259">
        <v>0</v>
      </c>
    </row>
    <row r="3340" spans="1:7" x14ac:dyDescent="0.25">
      <c r="A3340" s="3353" t="s">
        <v>496</v>
      </c>
      <c r="B3340" s="3354"/>
      <c r="C3340" s="3354"/>
      <c r="D3340" s="3354"/>
      <c r="E3340" s="3354"/>
      <c r="F3340" s="3354"/>
      <c r="G3340" s="3354"/>
    </row>
    <row r="3341" spans="1:7" x14ac:dyDescent="0.25">
      <c r="A3341" s="11" t="s">
        <v>984</v>
      </c>
      <c r="B3341" s="11"/>
      <c r="C3341" s="2268">
        <v>11206</v>
      </c>
      <c r="D3341" s="2268">
        <v>2569703978.22367</v>
      </c>
      <c r="E3341" s="2269">
        <v>64085901.160780802</v>
      </c>
      <c r="F3341" s="2270">
        <v>47.0330380605036</v>
      </c>
      <c r="G3341" s="2271">
        <v>1.02382370774875</v>
      </c>
    </row>
    <row r="3342" spans="1:7" x14ac:dyDescent="0.25">
      <c r="A3342" s="6" t="s">
        <v>986</v>
      </c>
      <c r="B3342" s="6"/>
      <c r="C3342" s="2264">
        <v>6160</v>
      </c>
      <c r="D3342" s="2264">
        <v>1599023804.08707</v>
      </c>
      <c r="E3342" s="2265">
        <v>79291246.712064698</v>
      </c>
      <c r="F3342" s="2266">
        <v>29.266774723704199</v>
      </c>
      <c r="G3342" s="2267">
        <v>1.1981280683711899</v>
      </c>
    </row>
    <row r="3343" spans="1:7" x14ac:dyDescent="0.25">
      <c r="A3343" s="11" t="s">
        <v>988</v>
      </c>
      <c r="B3343" s="11"/>
      <c r="C3343" s="2268">
        <v>1428</v>
      </c>
      <c r="D3343" s="2268">
        <v>741400327.28438306</v>
      </c>
      <c r="E3343" s="2269">
        <v>55989737.3498298</v>
      </c>
      <c r="F3343" s="2270">
        <v>13.5697769496939</v>
      </c>
      <c r="G3343" s="2271">
        <v>1.1067809035096601</v>
      </c>
    </row>
    <row r="3344" spans="1:7" x14ac:dyDescent="0.25">
      <c r="A3344" s="6" t="s">
        <v>990</v>
      </c>
      <c r="B3344" s="6"/>
      <c r="C3344" s="2264">
        <v>699</v>
      </c>
      <c r="D3344" s="2264">
        <v>407904852.33449399</v>
      </c>
      <c r="E3344" s="2265">
        <v>37649397.375236802</v>
      </c>
      <c r="F3344" s="2266">
        <v>7.4658422166487002</v>
      </c>
      <c r="G3344" s="2267">
        <v>0.67434647924087399</v>
      </c>
    </row>
    <row r="3345" spans="1:7" x14ac:dyDescent="0.25">
      <c r="A3345" s="11" t="s">
        <v>992</v>
      </c>
      <c r="B3345" s="11"/>
      <c r="C3345" s="2268">
        <v>192</v>
      </c>
      <c r="D3345" s="2268">
        <v>110849331.230262</v>
      </c>
      <c r="E3345" s="2269">
        <v>27540952.9222789</v>
      </c>
      <c r="F3345" s="2270">
        <v>2.0288643590528301</v>
      </c>
      <c r="G3345" s="2271">
        <v>0.51047936107912295</v>
      </c>
    </row>
    <row r="3346" spans="1:7" x14ac:dyDescent="0.25">
      <c r="A3346" s="6" t="s">
        <v>1003</v>
      </c>
      <c r="B3346" s="6"/>
      <c r="C3346" s="2264">
        <v>24</v>
      </c>
      <c r="D3346" s="2264">
        <v>17537170.653713401</v>
      </c>
      <c r="E3346" s="2265">
        <v>6674388.5989776701</v>
      </c>
      <c r="F3346" s="2266">
        <v>0.32098110203332397</v>
      </c>
      <c r="G3346" s="2267">
        <v>0.120694926556086</v>
      </c>
    </row>
    <row r="3347" spans="1:7" x14ac:dyDescent="0.25">
      <c r="A3347" s="11" t="s">
        <v>994</v>
      </c>
      <c r="B3347" s="11"/>
      <c r="C3347" s="2268">
        <v>60</v>
      </c>
      <c r="D3347" s="2268">
        <v>15320715.423936101</v>
      </c>
      <c r="E3347" s="2269">
        <v>6781987.5583031196</v>
      </c>
      <c r="F3347" s="2270">
        <v>0.28041354091930698</v>
      </c>
      <c r="G3347" s="2271">
        <v>0.123142888967413</v>
      </c>
    </row>
    <row r="3348" spans="1:7" x14ac:dyDescent="0.25">
      <c r="A3348" s="6" t="s">
        <v>1013</v>
      </c>
      <c r="B3348" s="6"/>
      <c r="C3348" s="2264">
        <v>7</v>
      </c>
      <c r="D3348" s="2264">
        <v>1061516.2787047101</v>
      </c>
      <c r="E3348" s="2265">
        <v>761891.55552837404</v>
      </c>
      <c r="F3348" s="2266">
        <v>1.9428827585298299E-2</v>
      </c>
      <c r="G3348" s="2267">
        <v>1.3921413522236199E-2</v>
      </c>
    </row>
    <row r="3349" spans="1:7" x14ac:dyDescent="0.25">
      <c r="A3349" s="11" t="s">
        <v>1015</v>
      </c>
      <c r="B3349" s="11"/>
      <c r="C3349" s="2268">
        <v>3</v>
      </c>
      <c r="D3349" s="2268">
        <v>812997.87861633603</v>
      </c>
      <c r="E3349" s="2269">
        <v>824320.36755797802</v>
      </c>
      <c r="F3349" s="2270">
        <v>1.48802198588271E-2</v>
      </c>
      <c r="G3349" s="2271">
        <v>1.50650889694788E-2</v>
      </c>
    </row>
    <row r="3350" spans="1:7" x14ac:dyDescent="0.25">
      <c r="A3350" s="6" t="s">
        <v>6293</v>
      </c>
      <c r="B3350" s="6" t="s">
        <v>6294</v>
      </c>
      <c r="C3350" s="2264">
        <v>19779</v>
      </c>
      <c r="D3350" s="2264">
        <v>5463614693.3948498</v>
      </c>
      <c r="E3350" s="2265">
        <v>72575038.820903197</v>
      </c>
      <c r="F3350" s="2266">
        <v>100</v>
      </c>
      <c r="G3350" s="2267">
        <v>2.29838001744816E-14</v>
      </c>
    </row>
    <row r="3351" spans="1:7" x14ac:dyDescent="0.25">
      <c r="A3351" s="11" t="s">
        <v>6293</v>
      </c>
      <c r="B3351" s="11" t="s">
        <v>6295</v>
      </c>
      <c r="C3351" s="2268">
        <v>19779</v>
      </c>
      <c r="D3351" s="2268">
        <v>5463614693.3948498</v>
      </c>
      <c r="E3351" s="2269">
        <v>0</v>
      </c>
      <c r="F3351" s="2270">
        <v>100</v>
      </c>
      <c r="G3351" s="2271">
        <v>0</v>
      </c>
    </row>
    <row r="3352" spans="1:7" x14ac:dyDescent="0.25">
      <c r="A3352" s="3353" t="s">
        <v>653</v>
      </c>
      <c r="B3352" s="3354"/>
      <c r="C3352" s="3354"/>
      <c r="D3352" s="3354"/>
      <c r="E3352" s="3354"/>
      <c r="F3352" s="3354"/>
      <c r="G3352" s="3354"/>
    </row>
    <row r="3353" spans="1:7" x14ac:dyDescent="0.25">
      <c r="A3353" s="11" t="s">
        <v>984</v>
      </c>
      <c r="B3353" s="11"/>
      <c r="C3353" s="2276">
        <v>4759</v>
      </c>
      <c r="D3353" s="2276">
        <v>1356380734.71838</v>
      </c>
      <c r="E3353" s="2277">
        <v>14992008.6068408</v>
      </c>
      <c r="F3353" s="2278">
        <v>24.825702594989998</v>
      </c>
      <c r="G3353" s="2279">
        <v>0.25792380605837101</v>
      </c>
    </row>
    <row r="3354" spans="1:7" x14ac:dyDescent="0.25">
      <c r="A3354" s="6" t="s">
        <v>986</v>
      </c>
      <c r="B3354" s="6"/>
      <c r="C3354" s="2272">
        <v>4597</v>
      </c>
      <c r="D3354" s="2272">
        <v>1320020921.1438</v>
      </c>
      <c r="E3354" s="2273">
        <v>14220948.016666399</v>
      </c>
      <c r="F3354" s="2274">
        <v>24.160212519005398</v>
      </c>
      <c r="G3354" s="2275">
        <v>0.196775716261954</v>
      </c>
    </row>
    <row r="3355" spans="1:7" x14ac:dyDescent="0.25">
      <c r="A3355" s="11" t="s">
        <v>988</v>
      </c>
      <c r="B3355" s="11"/>
      <c r="C3355" s="2276">
        <v>3266</v>
      </c>
      <c r="D3355" s="2276">
        <v>919498923.332389</v>
      </c>
      <c r="E3355" s="2277">
        <v>13611581.724373501</v>
      </c>
      <c r="F3355" s="2278">
        <v>16.829497959363799</v>
      </c>
      <c r="G3355" s="2279">
        <v>0.19378737310996799</v>
      </c>
    </row>
    <row r="3356" spans="1:7" x14ac:dyDescent="0.25">
      <c r="A3356" s="6" t="s">
        <v>990</v>
      </c>
      <c r="B3356" s="6"/>
      <c r="C3356" s="2272">
        <v>2573</v>
      </c>
      <c r="D3356" s="2272">
        <v>703561199.17416501</v>
      </c>
      <c r="E3356" s="2273">
        <v>11738498.6810643</v>
      </c>
      <c r="F3356" s="2274">
        <v>12.877211125900301</v>
      </c>
      <c r="G3356" s="2275">
        <v>0.14578919175451599</v>
      </c>
    </row>
    <row r="3357" spans="1:7" x14ac:dyDescent="0.25">
      <c r="A3357" s="11" t="s">
        <v>992</v>
      </c>
      <c r="B3357" s="11"/>
      <c r="C3357" s="2276">
        <v>1660</v>
      </c>
      <c r="D3357" s="2276">
        <v>428164030.62511802</v>
      </c>
      <c r="E3357" s="2277">
        <v>16844536.192494102</v>
      </c>
      <c r="F3357" s="2278">
        <v>7.8366439555618497</v>
      </c>
      <c r="G3357" s="2279">
        <v>0.26126484752843698</v>
      </c>
    </row>
    <row r="3358" spans="1:7" x14ac:dyDescent="0.25">
      <c r="A3358" s="6" t="s">
        <v>994</v>
      </c>
      <c r="B3358" s="6"/>
      <c r="C3358" s="2272">
        <v>1125</v>
      </c>
      <c r="D3358" s="2272">
        <v>287196015.24592698</v>
      </c>
      <c r="E3358" s="2273">
        <v>12938889.420642501</v>
      </c>
      <c r="F3358" s="2274">
        <v>5.2565202958606703</v>
      </c>
      <c r="G3358" s="2275">
        <v>0.20539928798521301</v>
      </c>
    </row>
    <row r="3359" spans="1:7" x14ac:dyDescent="0.25">
      <c r="A3359" s="11" t="s">
        <v>1003</v>
      </c>
      <c r="B3359" s="11"/>
      <c r="C3359" s="2276">
        <v>716</v>
      </c>
      <c r="D3359" s="2276">
        <v>192709028.450427</v>
      </c>
      <c r="E3359" s="2277">
        <v>8524584.1367412303</v>
      </c>
      <c r="F3359" s="2278">
        <v>3.5271343106130701</v>
      </c>
      <c r="G3359" s="2279">
        <v>0.14044002283204801</v>
      </c>
    </row>
    <row r="3360" spans="1:7" x14ac:dyDescent="0.25">
      <c r="A3360" s="6" t="s">
        <v>1013</v>
      </c>
      <c r="B3360" s="6"/>
      <c r="C3360" s="2272">
        <v>444</v>
      </c>
      <c r="D3360" s="2272">
        <v>111344747.18228</v>
      </c>
      <c r="E3360" s="2273">
        <v>7332988.0572456801</v>
      </c>
      <c r="F3360" s="2274">
        <v>2.0379319082820402</v>
      </c>
      <c r="G3360" s="2275">
        <v>0.128990114299849</v>
      </c>
    </row>
    <row r="3361" spans="1:7" x14ac:dyDescent="0.25">
      <c r="A3361" s="11" t="s">
        <v>1015</v>
      </c>
      <c r="B3361" s="11"/>
      <c r="C3361" s="2276">
        <v>256</v>
      </c>
      <c r="D3361" s="2276">
        <v>62896357.029465303</v>
      </c>
      <c r="E3361" s="2277">
        <v>7126275.05273961</v>
      </c>
      <c r="F3361" s="2278">
        <v>1.1511858093782299</v>
      </c>
      <c r="G3361" s="2279">
        <v>0.123846848053877</v>
      </c>
    </row>
    <row r="3362" spans="1:7" x14ac:dyDescent="0.25">
      <c r="A3362" s="6" t="s">
        <v>1017</v>
      </c>
      <c r="B3362" s="6"/>
      <c r="C3362" s="2272">
        <v>154</v>
      </c>
      <c r="D3362" s="2272">
        <v>39048435.023057401</v>
      </c>
      <c r="E3362" s="2273">
        <v>6600002.4333010605</v>
      </c>
      <c r="F3362" s="2274">
        <v>0.71469964875569003</v>
      </c>
      <c r="G3362" s="2275">
        <v>0.11459568021620101</v>
      </c>
    </row>
    <row r="3363" spans="1:7" x14ac:dyDescent="0.25">
      <c r="A3363" s="11" t="s">
        <v>1019</v>
      </c>
      <c r="B3363" s="11"/>
      <c r="C3363" s="2276">
        <v>87</v>
      </c>
      <c r="D3363" s="2276">
        <v>17201993.408310201</v>
      </c>
      <c r="E3363" s="2277">
        <v>4249804.0287122</v>
      </c>
      <c r="F3363" s="2278">
        <v>0.31484638602180798</v>
      </c>
      <c r="G3363" s="2279">
        <v>7.6621534241486502E-2</v>
      </c>
    </row>
    <row r="3364" spans="1:7" x14ac:dyDescent="0.25">
      <c r="A3364" s="6" t="s">
        <v>1021</v>
      </c>
      <c r="B3364" s="6"/>
      <c r="C3364" s="2272">
        <v>57</v>
      </c>
      <c r="D3364" s="2272">
        <v>12632200.9295031</v>
      </c>
      <c r="E3364" s="2273">
        <v>3915805.5594731299</v>
      </c>
      <c r="F3364" s="2274">
        <v>0.23120592571754001</v>
      </c>
      <c r="G3364" s="2275">
        <v>7.12464146817159E-2</v>
      </c>
    </row>
    <row r="3365" spans="1:7" x14ac:dyDescent="0.25">
      <c r="A3365" s="11" t="s">
        <v>1023</v>
      </c>
      <c r="B3365" s="11"/>
      <c r="C3365" s="2276">
        <v>33</v>
      </c>
      <c r="D3365" s="2276">
        <v>4000907.5894957902</v>
      </c>
      <c r="E3365" s="2277">
        <v>1063977.58926272</v>
      </c>
      <c r="F3365" s="2278">
        <v>7.3228216373541405E-2</v>
      </c>
      <c r="G3365" s="2279">
        <v>1.9136843516552499E-2</v>
      </c>
    </row>
    <row r="3366" spans="1:7" x14ac:dyDescent="0.25">
      <c r="A3366" s="6" t="s">
        <v>1025</v>
      </c>
      <c r="B3366" s="6"/>
      <c r="C3366" s="2272">
        <v>23</v>
      </c>
      <c r="D3366" s="2272">
        <v>2359742.3860784299</v>
      </c>
      <c r="E3366" s="2273">
        <v>810485.28787107801</v>
      </c>
      <c r="F3366" s="2274">
        <v>4.31901317809106E-2</v>
      </c>
      <c r="G3366" s="2275">
        <v>1.4567138066620199E-2</v>
      </c>
    </row>
    <row r="3367" spans="1:7" x14ac:dyDescent="0.25">
      <c r="A3367" s="11" t="s">
        <v>1027</v>
      </c>
      <c r="B3367" s="11"/>
      <c r="C3367" s="2276">
        <v>11</v>
      </c>
      <c r="D3367" s="2276">
        <v>1283033.14309962</v>
      </c>
      <c r="E3367" s="2277">
        <v>757318.65557998198</v>
      </c>
      <c r="F3367" s="2278">
        <v>2.3483228871368202E-2</v>
      </c>
      <c r="G3367" s="2279">
        <v>1.37907491174759E-2</v>
      </c>
    </row>
    <row r="3368" spans="1:7" x14ac:dyDescent="0.25">
      <c r="A3368" s="6" t="s">
        <v>1029</v>
      </c>
      <c r="B3368" s="6"/>
      <c r="C3368" s="2272">
        <v>6</v>
      </c>
      <c r="D3368" s="2272">
        <v>1126379.4342682101</v>
      </c>
      <c r="E3368" s="2273">
        <v>709770.80359802197</v>
      </c>
      <c r="F3368" s="2274">
        <v>2.06160115139511E-2</v>
      </c>
      <c r="G3368" s="2275">
        <v>1.29210656297569E-2</v>
      </c>
    </row>
    <row r="3369" spans="1:7" x14ac:dyDescent="0.25">
      <c r="A3369" s="11" t="s">
        <v>1031</v>
      </c>
      <c r="B3369" s="11"/>
      <c r="C3369" s="2276">
        <v>4</v>
      </c>
      <c r="D3369" s="2276">
        <v>1085738.2962632901</v>
      </c>
      <c r="E3369" s="2277">
        <v>686374.54102524603</v>
      </c>
      <c r="F3369" s="2278">
        <v>1.9872160779856499E-2</v>
      </c>
      <c r="G3369" s="2279">
        <v>1.2492558637375001E-2</v>
      </c>
    </row>
    <row r="3370" spans="1:7" x14ac:dyDescent="0.25">
      <c r="A3370" s="6" t="s">
        <v>1033</v>
      </c>
      <c r="B3370" s="6"/>
      <c r="C3370" s="2272">
        <v>2</v>
      </c>
      <c r="D3370" s="2272">
        <v>658717.96060468396</v>
      </c>
      <c r="E3370" s="2273">
        <v>571993.61878290796</v>
      </c>
      <c r="F3370" s="2274">
        <v>1.20564497602847E-2</v>
      </c>
      <c r="G3370" s="2275">
        <v>1.04613794255718E-2</v>
      </c>
    </row>
    <row r="3371" spans="1:7" x14ac:dyDescent="0.25">
      <c r="A3371" s="11" t="s">
        <v>1035</v>
      </c>
      <c r="B3371" s="11"/>
      <c r="C3371" s="2276">
        <v>2</v>
      </c>
      <c r="D3371" s="2276">
        <v>658717.96060468396</v>
      </c>
      <c r="E3371" s="2277">
        <v>571993.61878290796</v>
      </c>
      <c r="F3371" s="2278">
        <v>1.20564497602847E-2</v>
      </c>
      <c r="G3371" s="2279">
        <v>1.04613794255718E-2</v>
      </c>
    </row>
    <row r="3372" spans="1:7" x14ac:dyDescent="0.25">
      <c r="A3372" s="6" t="s">
        <v>1177</v>
      </c>
      <c r="B3372" s="6"/>
      <c r="C3372" s="2272">
        <v>2</v>
      </c>
      <c r="D3372" s="2272">
        <v>658717.96060468396</v>
      </c>
      <c r="E3372" s="2273">
        <v>571993.61878290796</v>
      </c>
      <c r="F3372" s="2274">
        <v>1.20564497602847E-2</v>
      </c>
      <c r="G3372" s="2275">
        <v>1.04613794255718E-2</v>
      </c>
    </row>
    <row r="3373" spans="1:7" x14ac:dyDescent="0.25">
      <c r="A3373" s="11" t="s">
        <v>1069</v>
      </c>
      <c r="B3373" s="11"/>
      <c r="C3373" s="2276">
        <v>1</v>
      </c>
      <c r="D3373" s="2276">
        <v>564076.200507759</v>
      </c>
      <c r="E3373" s="2277">
        <v>581613.81777339103</v>
      </c>
      <c r="F3373" s="2278">
        <v>1.03242309745907E-2</v>
      </c>
      <c r="G3373" s="2279">
        <v>1.06374632728931E-2</v>
      </c>
    </row>
    <row r="3374" spans="1:7" x14ac:dyDescent="0.25">
      <c r="A3374" s="6" t="s">
        <v>1071</v>
      </c>
      <c r="B3374" s="6"/>
      <c r="C3374" s="2272">
        <v>1</v>
      </c>
      <c r="D3374" s="2272">
        <v>564076.200507759</v>
      </c>
      <c r="E3374" s="2273">
        <v>581613.81777339103</v>
      </c>
      <c r="F3374" s="2274">
        <v>1.03242309745907E-2</v>
      </c>
      <c r="G3374" s="2275">
        <v>1.06374632728931E-2</v>
      </c>
    </row>
    <row r="3375" spans="1:7" x14ac:dyDescent="0.25">
      <c r="A3375" s="11" t="s">
        <v>6293</v>
      </c>
      <c r="B3375" s="11" t="s">
        <v>6294</v>
      </c>
      <c r="C3375" s="2276">
        <v>19779</v>
      </c>
      <c r="D3375" s="2276">
        <v>5463614693.3948603</v>
      </c>
      <c r="E3375" s="2277">
        <v>72575038.820911705</v>
      </c>
      <c r="F3375" s="2278">
        <v>100</v>
      </c>
      <c r="G3375" s="2279">
        <v>9.5320444878948101E-14</v>
      </c>
    </row>
    <row r="3376" spans="1:7" x14ac:dyDescent="0.25">
      <c r="A3376" s="6" t="s">
        <v>6293</v>
      </c>
      <c r="B3376" s="6" t="s">
        <v>6295</v>
      </c>
      <c r="C3376" s="2272">
        <v>19779</v>
      </c>
      <c r="D3376" s="2272">
        <v>5463614693.3948603</v>
      </c>
      <c r="E3376" s="2273">
        <v>0</v>
      </c>
      <c r="F3376" s="2274">
        <v>100</v>
      </c>
      <c r="G3376" s="2275">
        <v>0</v>
      </c>
    </row>
    <row r="3377" spans="1:7" x14ac:dyDescent="0.25">
      <c r="A3377" s="3353" t="s">
        <v>449</v>
      </c>
      <c r="B3377" s="3354"/>
      <c r="C3377" s="3354"/>
      <c r="D3377" s="3354"/>
      <c r="E3377" s="3354"/>
      <c r="F3377" s="3354"/>
      <c r="G3377" s="3354"/>
    </row>
    <row r="3378" spans="1:7" x14ac:dyDescent="0.25">
      <c r="A3378" s="11" t="s">
        <v>4322</v>
      </c>
      <c r="B3378" s="11"/>
      <c r="C3378" s="2284">
        <v>6859</v>
      </c>
      <c r="D3378" s="2284">
        <v>1987588118.6798601</v>
      </c>
      <c r="E3378" s="2285">
        <v>38975894.226625502</v>
      </c>
      <c r="F3378" s="2286">
        <v>36.3786289886568</v>
      </c>
      <c r="G3378" s="2287">
        <v>0.56672282058634305</v>
      </c>
    </row>
    <row r="3379" spans="1:7" x14ac:dyDescent="0.25">
      <c r="A3379" s="6" t="s">
        <v>6611</v>
      </c>
      <c r="B3379" s="6"/>
      <c r="C3379" s="2280">
        <v>3410</v>
      </c>
      <c r="D3379" s="2280">
        <v>785906666.503106</v>
      </c>
      <c r="E3379" s="2281">
        <v>24424565.5447524</v>
      </c>
      <c r="F3379" s="2282">
        <v>14.3843720797737</v>
      </c>
      <c r="G3379" s="2283">
        <v>0.489825182901925</v>
      </c>
    </row>
    <row r="3380" spans="1:7" x14ac:dyDescent="0.25">
      <c r="A3380" s="11" t="s">
        <v>6612</v>
      </c>
      <c r="B3380" s="11"/>
      <c r="C3380" s="2284">
        <v>2548</v>
      </c>
      <c r="D3380" s="2284">
        <v>590037890.13912404</v>
      </c>
      <c r="E3380" s="2285">
        <v>19951697.582413599</v>
      </c>
      <c r="F3380" s="2286">
        <v>10.7994052152404</v>
      </c>
      <c r="G3380" s="2287">
        <v>0.31608328287996001</v>
      </c>
    </row>
    <row r="3381" spans="1:7" x14ac:dyDescent="0.25">
      <c r="A3381" s="6" t="s">
        <v>6613</v>
      </c>
      <c r="B3381" s="6"/>
      <c r="C3381" s="2280">
        <v>1827</v>
      </c>
      <c r="D3381" s="2280">
        <v>448362479.33583701</v>
      </c>
      <c r="E3381" s="2281">
        <v>17409556.920417201</v>
      </c>
      <c r="F3381" s="2282">
        <v>8.2063341669733205</v>
      </c>
      <c r="G3381" s="2283">
        <v>0.266415919074799</v>
      </c>
    </row>
    <row r="3382" spans="1:7" x14ac:dyDescent="0.25">
      <c r="A3382" s="11" t="s">
        <v>6614</v>
      </c>
      <c r="B3382" s="11"/>
      <c r="C3382" s="2284">
        <v>1188</v>
      </c>
      <c r="D3382" s="2284">
        <v>290219883.712668</v>
      </c>
      <c r="E3382" s="2285">
        <v>24507460.9692166</v>
      </c>
      <c r="F3382" s="2286">
        <v>5.3118658616890402</v>
      </c>
      <c r="G3382" s="2287">
        <v>0.40611721018306901</v>
      </c>
    </row>
    <row r="3383" spans="1:7" x14ac:dyDescent="0.25">
      <c r="A3383" s="6" t="s">
        <v>6615</v>
      </c>
      <c r="B3383" s="6"/>
      <c r="C3383" s="2280">
        <v>789</v>
      </c>
      <c r="D3383" s="2280">
        <v>273464951.38592702</v>
      </c>
      <c r="E3383" s="2281">
        <v>22107201.363060798</v>
      </c>
      <c r="F3383" s="2282">
        <v>5.0052019904794403</v>
      </c>
      <c r="G3383" s="2283">
        <v>0.41314979517617001</v>
      </c>
    </row>
    <row r="3384" spans="1:7" x14ac:dyDescent="0.25">
      <c r="A3384" s="11" t="s">
        <v>6616</v>
      </c>
      <c r="B3384" s="11"/>
      <c r="C3384" s="2284">
        <v>547</v>
      </c>
      <c r="D3384" s="2284">
        <v>184891073.63882399</v>
      </c>
      <c r="E3384" s="2285">
        <v>17391262.928881899</v>
      </c>
      <c r="F3384" s="2286">
        <v>3.38404305600731</v>
      </c>
      <c r="G3384" s="2287">
        <v>0.30134976342916903</v>
      </c>
    </row>
    <row r="3385" spans="1:7" x14ac:dyDescent="0.25">
      <c r="A3385" s="6" t="s">
        <v>6617</v>
      </c>
      <c r="B3385" s="6"/>
      <c r="C3385" s="2280">
        <v>302</v>
      </c>
      <c r="D3385" s="2280">
        <v>171278282.96601999</v>
      </c>
      <c r="E3385" s="2281">
        <v>17964556.4698078</v>
      </c>
      <c r="F3385" s="2282">
        <v>3.1348894930875</v>
      </c>
      <c r="G3385" s="2283">
        <v>0.330299834305468</v>
      </c>
    </row>
    <row r="3386" spans="1:7" x14ac:dyDescent="0.25">
      <c r="A3386" s="11" t="s">
        <v>6618</v>
      </c>
      <c r="B3386" s="11"/>
      <c r="C3386" s="2284">
        <v>732</v>
      </c>
      <c r="D3386" s="2284">
        <v>170366932.74244201</v>
      </c>
      <c r="E3386" s="2285">
        <v>12427720.357462199</v>
      </c>
      <c r="F3386" s="2286">
        <v>3.11820913997474</v>
      </c>
      <c r="G3386" s="2287">
        <v>0.20888350686055501</v>
      </c>
    </row>
    <row r="3387" spans="1:7" x14ac:dyDescent="0.25">
      <c r="A3387" s="6" t="s">
        <v>4871</v>
      </c>
      <c r="B3387" s="6"/>
      <c r="C3387" s="2280">
        <v>159</v>
      </c>
      <c r="D3387" s="2280">
        <v>110203131.48618799</v>
      </c>
      <c r="E3387" s="2281">
        <v>15639616.4736147</v>
      </c>
      <c r="F3387" s="2282">
        <v>2.0170370289730699</v>
      </c>
      <c r="G3387" s="2283">
        <v>0.28152725682553398</v>
      </c>
    </row>
    <row r="3388" spans="1:7" x14ac:dyDescent="0.25">
      <c r="A3388" s="11" t="s">
        <v>6619</v>
      </c>
      <c r="B3388" s="11"/>
      <c r="C3388" s="2284">
        <v>463</v>
      </c>
      <c r="D3388" s="2284">
        <v>105432305.966783</v>
      </c>
      <c r="E3388" s="2285">
        <v>11041599.188480699</v>
      </c>
      <c r="F3388" s="2286">
        <v>1.9297170807861601</v>
      </c>
      <c r="G3388" s="2287">
        <v>0.19255127031552899</v>
      </c>
    </row>
    <row r="3389" spans="1:7" x14ac:dyDescent="0.25">
      <c r="A3389" s="6" t="s">
        <v>6620</v>
      </c>
      <c r="B3389" s="6"/>
      <c r="C3389" s="2280">
        <v>261</v>
      </c>
      <c r="D3389" s="2280">
        <v>62631193.602218702</v>
      </c>
      <c r="E3389" s="2281">
        <v>8019134.74130305</v>
      </c>
      <c r="F3389" s="2282">
        <v>1.14633254936399</v>
      </c>
      <c r="G3389" s="2283">
        <v>0.145166464738368</v>
      </c>
    </row>
    <row r="3390" spans="1:7" x14ac:dyDescent="0.25">
      <c r="A3390" s="11" t="s">
        <v>6621</v>
      </c>
      <c r="B3390" s="11"/>
      <c r="C3390" s="2284">
        <v>105</v>
      </c>
      <c r="D3390" s="2284">
        <v>49570843.029514</v>
      </c>
      <c r="E3390" s="2285">
        <v>12899245.5867262</v>
      </c>
      <c r="F3390" s="2286">
        <v>0.90729024302247696</v>
      </c>
      <c r="G3390" s="2287">
        <v>0.23810918900288899</v>
      </c>
    </row>
    <row r="3391" spans="1:7" x14ac:dyDescent="0.25">
      <c r="A3391" s="6" t="s">
        <v>6622</v>
      </c>
      <c r="B3391" s="6"/>
      <c r="C3391" s="2280">
        <v>162</v>
      </c>
      <c r="D3391" s="2280">
        <v>47237331.5807546</v>
      </c>
      <c r="E3391" s="2281">
        <v>10470633.2737484</v>
      </c>
      <c r="F3391" s="2282">
        <v>0.86458021349604497</v>
      </c>
      <c r="G3391" s="2283">
        <v>0.19266269117542201</v>
      </c>
    </row>
    <row r="3392" spans="1:7" x14ac:dyDescent="0.25">
      <c r="A3392" s="11" t="s">
        <v>6623</v>
      </c>
      <c r="B3392" s="11"/>
      <c r="C3392" s="2284">
        <v>68</v>
      </c>
      <c r="D3392" s="2284">
        <v>46564086.273326002</v>
      </c>
      <c r="E3392" s="2285">
        <v>14095955.9115582</v>
      </c>
      <c r="F3392" s="2286">
        <v>0.85225787114195295</v>
      </c>
      <c r="G3392" s="2287">
        <v>0.25854147348036899</v>
      </c>
    </row>
    <row r="3393" spans="1:7" x14ac:dyDescent="0.25">
      <c r="A3393" s="6" t="s">
        <v>6624</v>
      </c>
      <c r="B3393" s="6"/>
      <c r="C3393" s="2280">
        <v>105</v>
      </c>
      <c r="D3393" s="2280">
        <v>30543013.085168499</v>
      </c>
      <c r="E3393" s="2281">
        <v>10287752.636088099</v>
      </c>
      <c r="F3393" s="2282">
        <v>0.55902575125022902</v>
      </c>
      <c r="G3393" s="2283">
        <v>0.189098795695645</v>
      </c>
    </row>
    <row r="3394" spans="1:7" x14ac:dyDescent="0.25">
      <c r="A3394" s="11" t="s">
        <v>6625</v>
      </c>
      <c r="B3394" s="11"/>
      <c r="C3394" s="2284">
        <v>36</v>
      </c>
      <c r="D3394" s="2284">
        <v>23440650.122118801</v>
      </c>
      <c r="E3394" s="2285">
        <v>5697335.0520332102</v>
      </c>
      <c r="F3394" s="2286">
        <v>0.42903190355749299</v>
      </c>
      <c r="G3394" s="2287">
        <v>0.105083435900449</v>
      </c>
    </row>
    <row r="3395" spans="1:7" x14ac:dyDescent="0.25">
      <c r="A3395" s="6" t="s">
        <v>6626</v>
      </c>
      <c r="B3395" s="6"/>
      <c r="C3395" s="2280">
        <v>66</v>
      </c>
      <c r="D3395" s="2280">
        <v>17943905.0893756</v>
      </c>
      <c r="E3395" s="2281">
        <v>4333522.0613428699</v>
      </c>
      <c r="F3395" s="2282">
        <v>0.32842552222923999</v>
      </c>
      <c r="G3395" s="2283">
        <v>8.1372982612986505E-2</v>
      </c>
    </row>
    <row r="3396" spans="1:7" x14ac:dyDescent="0.25">
      <c r="A3396" s="11" t="s">
        <v>6627</v>
      </c>
      <c r="B3396" s="11"/>
      <c r="C3396" s="2284">
        <v>10</v>
      </c>
      <c r="D3396" s="2284">
        <v>16149823.680187199</v>
      </c>
      <c r="E3396" s="2285">
        <v>13135757.9003282</v>
      </c>
      <c r="F3396" s="2286">
        <v>0.29558862742849101</v>
      </c>
      <c r="G3396" s="2287">
        <v>0.24019635148853999</v>
      </c>
    </row>
    <row r="3397" spans="1:7" x14ac:dyDescent="0.25">
      <c r="A3397" s="6" t="s">
        <v>6628</v>
      </c>
      <c r="B3397" s="6"/>
      <c r="C3397" s="2280">
        <v>25</v>
      </c>
      <c r="D3397" s="2280">
        <v>14530464.8450258</v>
      </c>
      <c r="E3397" s="2281">
        <v>5366914.3379948698</v>
      </c>
      <c r="F3397" s="2282">
        <v>0.26594966263986602</v>
      </c>
      <c r="G3397" s="2283">
        <v>9.8670840554345898E-2</v>
      </c>
    </row>
    <row r="3398" spans="1:7" x14ac:dyDescent="0.25">
      <c r="A3398" s="11" t="s">
        <v>6629</v>
      </c>
      <c r="B3398" s="11"/>
      <c r="C3398" s="2284">
        <v>3</v>
      </c>
      <c r="D3398" s="2284">
        <v>7280379.0896787504</v>
      </c>
      <c r="E3398" s="2285">
        <v>7314303.6283075996</v>
      </c>
      <c r="F3398" s="2286">
        <v>0.133252059272778</v>
      </c>
      <c r="G3398" s="2287">
        <v>0.13406161815440701</v>
      </c>
    </row>
    <row r="3399" spans="1:7" x14ac:dyDescent="0.25">
      <c r="A3399" s="6" t="s">
        <v>6630</v>
      </c>
      <c r="B3399" s="6"/>
      <c r="C3399" s="2280">
        <v>31</v>
      </c>
      <c r="D3399" s="2280">
        <v>5778235.7107253997</v>
      </c>
      <c r="E3399" s="2281">
        <v>2415159.5211703698</v>
      </c>
      <c r="F3399" s="2282">
        <v>0.105758477399786</v>
      </c>
      <c r="G3399" s="2283">
        <v>4.4331892747097701E-2</v>
      </c>
    </row>
    <row r="3400" spans="1:7" x14ac:dyDescent="0.25">
      <c r="A3400" s="11" t="s">
        <v>6631</v>
      </c>
      <c r="B3400" s="11"/>
      <c r="C3400" s="2284">
        <v>22</v>
      </c>
      <c r="D3400" s="2284">
        <v>5276982.9460090501</v>
      </c>
      <c r="E3400" s="2285">
        <v>2732443.7517625899</v>
      </c>
      <c r="F3400" s="2286">
        <v>9.6584097564357305E-2</v>
      </c>
      <c r="G3400" s="2287">
        <v>4.9901142662841298E-2</v>
      </c>
    </row>
    <row r="3401" spans="1:7" x14ac:dyDescent="0.25">
      <c r="A3401" s="6" t="s">
        <v>6632</v>
      </c>
      <c r="B3401" s="6"/>
      <c r="C3401" s="2280">
        <v>4</v>
      </c>
      <c r="D3401" s="2280">
        <v>4399246.6120815696</v>
      </c>
      <c r="E3401" s="2281">
        <v>2947716.8775435798</v>
      </c>
      <c r="F3401" s="2282">
        <v>8.0518976153277397E-2</v>
      </c>
      <c r="G3401" s="2283">
        <v>5.4262984882289797E-2</v>
      </c>
    </row>
    <row r="3402" spans="1:7" x14ac:dyDescent="0.25">
      <c r="A3402" s="11" t="s">
        <v>6633</v>
      </c>
      <c r="B3402" s="11"/>
      <c r="C3402" s="2284">
        <v>14</v>
      </c>
      <c r="D3402" s="2284">
        <v>4225404.6343164304</v>
      </c>
      <c r="E3402" s="2285">
        <v>2353625.6045699199</v>
      </c>
      <c r="F3402" s="2286">
        <v>7.7337163607540907E-2</v>
      </c>
      <c r="G3402" s="2287">
        <v>4.3063523163065602E-2</v>
      </c>
    </row>
    <row r="3403" spans="1:7" x14ac:dyDescent="0.25">
      <c r="A3403" s="6" t="s">
        <v>6634</v>
      </c>
      <c r="B3403" s="6"/>
      <c r="C3403" s="2280">
        <v>12</v>
      </c>
      <c r="D3403" s="2280">
        <v>4002696.5010816799</v>
      </c>
      <c r="E3403" s="2281">
        <v>1916656.2466726501</v>
      </c>
      <c r="F3403" s="2282">
        <v>7.3260958645576996E-2</v>
      </c>
      <c r="G3403" s="2283">
        <v>3.47693313355808E-2</v>
      </c>
    </row>
    <row r="3404" spans="1:7" x14ac:dyDescent="0.25">
      <c r="A3404" s="11" t="s">
        <v>6635</v>
      </c>
      <c r="B3404" s="11"/>
      <c r="C3404" s="2284">
        <v>11</v>
      </c>
      <c r="D3404" s="2284">
        <v>1634815.8929029601</v>
      </c>
      <c r="E3404" s="2285">
        <v>1228018.67655718</v>
      </c>
      <c r="F3404" s="2286">
        <v>2.9921873789514102E-2</v>
      </c>
      <c r="G3404" s="2287">
        <v>2.2362984706892498E-2</v>
      </c>
    </row>
    <row r="3405" spans="1:7" x14ac:dyDescent="0.25">
      <c r="A3405" s="6" t="s">
        <v>6636</v>
      </c>
      <c r="B3405" s="6"/>
      <c r="C3405" s="2280">
        <v>7</v>
      </c>
      <c r="D3405" s="2280">
        <v>1578503.10971775</v>
      </c>
      <c r="E3405" s="2281">
        <v>1240723.51710455</v>
      </c>
      <c r="F3405" s="2282">
        <v>2.8891186481836799E-2</v>
      </c>
      <c r="G3405" s="2283">
        <v>2.26012036431802E-2</v>
      </c>
    </row>
    <row r="3406" spans="1:7" x14ac:dyDescent="0.25">
      <c r="A3406" s="11" t="s">
        <v>6637</v>
      </c>
      <c r="B3406" s="11"/>
      <c r="C3406" s="2284">
        <v>2</v>
      </c>
      <c r="D3406" s="2284">
        <v>729387.19685492595</v>
      </c>
      <c r="E3406" s="2285">
        <v>814502.51726735802</v>
      </c>
      <c r="F3406" s="2286">
        <v>1.3349901810182601E-2</v>
      </c>
      <c r="G3406" s="2287">
        <v>1.4871033578440499E-2</v>
      </c>
    </row>
    <row r="3407" spans="1:7" x14ac:dyDescent="0.25">
      <c r="A3407" s="6" t="s">
        <v>6638</v>
      </c>
      <c r="B3407" s="6"/>
      <c r="C3407" s="2280">
        <v>1</v>
      </c>
      <c r="D3407" s="2280">
        <v>501312.23806602199</v>
      </c>
      <c r="E3407" s="2281">
        <v>521136.99348931201</v>
      </c>
      <c r="F3407" s="2282">
        <v>9.1754683702727907E-3</v>
      </c>
      <c r="G3407" s="2283">
        <v>9.5213983854366604E-3</v>
      </c>
    </row>
    <row r="3408" spans="1:7" x14ac:dyDescent="0.25">
      <c r="A3408" s="11" t="s">
        <v>6639</v>
      </c>
      <c r="B3408" s="11"/>
      <c r="C3408" s="2284">
        <v>4</v>
      </c>
      <c r="D3408" s="2284">
        <v>487769.39829261601</v>
      </c>
      <c r="E3408" s="2285">
        <v>365803.23067320598</v>
      </c>
      <c r="F3408" s="2286">
        <v>8.9275951117544199E-3</v>
      </c>
      <c r="G3408" s="2287">
        <v>6.6712493634632098E-3</v>
      </c>
    </row>
    <row r="3409" spans="1:7" x14ac:dyDescent="0.25">
      <c r="A3409" s="6" t="s">
        <v>6640</v>
      </c>
      <c r="B3409" s="6"/>
      <c r="C3409" s="2280">
        <v>2</v>
      </c>
      <c r="D3409" s="2280">
        <v>351853.93387380202</v>
      </c>
      <c r="E3409" s="2281">
        <v>361012.97854718001</v>
      </c>
      <c r="F3409" s="2282">
        <v>6.4399477931555002E-3</v>
      </c>
      <c r="G3409" s="2283">
        <v>6.5931242991796599E-3</v>
      </c>
    </row>
    <row r="3410" spans="1:7" x14ac:dyDescent="0.25">
      <c r="A3410" s="11" t="s">
        <v>6641</v>
      </c>
      <c r="B3410" s="11"/>
      <c r="C3410" s="2284">
        <v>1</v>
      </c>
      <c r="D3410" s="2284">
        <v>284116.00850133499</v>
      </c>
      <c r="E3410" s="2285">
        <v>301287.927345259</v>
      </c>
      <c r="F3410" s="2286">
        <v>5.2001472366785297E-3</v>
      </c>
      <c r="G3410" s="2287">
        <v>5.5009964442394596E-3</v>
      </c>
    </row>
    <row r="3411" spans="1:7" x14ac:dyDescent="0.25">
      <c r="A3411" s="6" t="s">
        <v>6642</v>
      </c>
      <c r="B3411" s="6"/>
      <c r="C3411" s="2280">
        <v>1</v>
      </c>
      <c r="D3411" s="2280">
        <v>284116.00850133499</v>
      </c>
      <c r="E3411" s="2281">
        <v>301287.927345259</v>
      </c>
      <c r="F3411" s="2282">
        <v>5.2001472366785297E-3</v>
      </c>
      <c r="G3411" s="2283">
        <v>5.5009964442394596E-3</v>
      </c>
    </row>
    <row r="3412" spans="1:7" x14ac:dyDescent="0.25">
      <c r="A3412" s="11" t="s">
        <v>6643</v>
      </c>
      <c r="B3412" s="11"/>
      <c r="C3412" s="2284">
        <v>1</v>
      </c>
      <c r="D3412" s="2284">
        <v>266686.02773972502</v>
      </c>
      <c r="E3412" s="2285">
        <v>301072.41585154302</v>
      </c>
      <c r="F3412" s="2286">
        <v>4.88112802065142E-3</v>
      </c>
      <c r="G3412" s="2287">
        <v>5.5050562544245504E-3</v>
      </c>
    </row>
    <row r="3413" spans="1:7" x14ac:dyDescent="0.25">
      <c r="A3413" s="6" t="s">
        <v>6644</v>
      </c>
      <c r="B3413" s="6"/>
      <c r="C3413" s="2280">
        <v>1</v>
      </c>
      <c r="D3413" s="2280">
        <v>170160.22205518099</v>
      </c>
      <c r="E3413" s="2281">
        <v>174504.24215422099</v>
      </c>
      <c r="F3413" s="2282">
        <v>3.1144257346861098E-3</v>
      </c>
      <c r="G3413" s="2283">
        <v>3.1874584787938E-3</v>
      </c>
    </row>
    <row r="3414" spans="1:7" x14ac:dyDescent="0.25">
      <c r="A3414" s="11" t="s">
        <v>6293</v>
      </c>
      <c r="B3414" s="11" t="s">
        <v>6294</v>
      </c>
      <c r="C3414" s="2284">
        <v>19779</v>
      </c>
      <c r="D3414" s="2284">
        <v>5463614693.3948603</v>
      </c>
      <c r="E3414" s="2285">
        <v>72575038.820913702</v>
      </c>
      <c r="F3414" s="2286">
        <v>100</v>
      </c>
      <c r="G3414" s="2287">
        <v>1.78031750616652E-14</v>
      </c>
    </row>
    <row r="3415" spans="1:7" x14ac:dyDescent="0.25">
      <c r="A3415" s="6" t="s">
        <v>6293</v>
      </c>
      <c r="B3415" s="6" t="s">
        <v>6295</v>
      </c>
      <c r="C3415" s="2280">
        <v>19779</v>
      </c>
      <c r="D3415" s="2280">
        <v>5463614693.3948603</v>
      </c>
      <c r="E3415" s="2281">
        <v>0</v>
      </c>
      <c r="F3415" s="2282">
        <v>100</v>
      </c>
      <c r="G3415" s="2283">
        <v>0</v>
      </c>
    </row>
    <row r="3416" spans="1:7" x14ac:dyDescent="0.25">
      <c r="A3416" s="3353" t="s">
        <v>362</v>
      </c>
      <c r="B3416" s="3354"/>
      <c r="C3416" s="3354"/>
      <c r="D3416" s="3354"/>
      <c r="E3416" s="3354"/>
      <c r="F3416" s="3354"/>
      <c r="G3416" s="3354"/>
    </row>
    <row r="3417" spans="1:7" x14ac:dyDescent="0.25">
      <c r="A3417" s="11" t="s">
        <v>4322</v>
      </c>
      <c r="B3417" s="11"/>
      <c r="C3417" s="2292">
        <v>6795</v>
      </c>
      <c r="D3417" s="2292">
        <v>1947967872.05497</v>
      </c>
      <c r="E3417" s="2293">
        <v>37692818.187603302</v>
      </c>
      <c r="F3417" s="2294">
        <v>35.653463528640302</v>
      </c>
      <c r="G3417" s="2295">
        <v>0.620595518872324</v>
      </c>
    </row>
    <row r="3418" spans="1:7" x14ac:dyDescent="0.25">
      <c r="A3418" s="6" t="s">
        <v>6611</v>
      </c>
      <c r="B3418" s="6"/>
      <c r="C3418" s="2288">
        <v>3354</v>
      </c>
      <c r="D3418" s="2288">
        <v>785606862.03103805</v>
      </c>
      <c r="E3418" s="2289">
        <v>22657038.775438201</v>
      </c>
      <c r="F3418" s="2290">
        <v>14.378884788138199</v>
      </c>
      <c r="G3418" s="2291">
        <v>0.44349253242390402</v>
      </c>
    </row>
    <row r="3419" spans="1:7" x14ac:dyDescent="0.25">
      <c r="A3419" s="11" t="s">
        <v>6612</v>
      </c>
      <c r="B3419" s="11"/>
      <c r="C3419" s="2292">
        <v>2567</v>
      </c>
      <c r="D3419" s="2292">
        <v>599753024.78404999</v>
      </c>
      <c r="E3419" s="2293">
        <v>24240706.0215904</v>
      </c>
      <c r="F3419" s="2294">
        <v>10.977220364919001</v>
      </c>
      <c r="G3419" s="2295">
        <v>0.391444281396232</v>
      </c>
    </row>
    <row r="3420" spans="1:7" x14ac:dyDescent="0.25">
      <c r="A3420" s="6" t="s">
        <v>6613</v>
      </c>
      <c r="B3420" s="6"/>
      <c r="C3420" s="2288">
        <v>1858</v>
      </c>
      <c r="D3420" s="2288">
        <v>452044302.38637799</v>
      </c>
      <c r="E3420" s="2289">
        <v>17412699.5847628</v>
      </c>
      <c r="F3420" s="2290">
        <v>8.2737222105517194</v>
      </c>
      <c r="G3420" s="2291">
        <v>0.26894188396979801</v>
      </c>
    </row>
    <row r="3421" spans="1:7" x14ac:dyDescent="0.25">
      <c r="A3421" s="11" t="s">
        <v>6614</v>
      </c>
      <c r="B3421" s="11"/>
      <c r="C3421" s="2292">
        <v>1227</v>
      </c>
      <c r="D3421" s="2292">
        <v>302400860.28957701</v>
      </c>
      <c r="E3421" s="2293">
        <v>29061883.4353306</v>
      </c>
      <c r="F3421" s="2294">
        <v>5.5348130726560703</v>
      </c>
      <c r="G3421" s="2295">
        <v>0.487528754288509</v>
      </c>
    </row>
    <row r="3422" spans="1:7" x14ac:dyDescent="0.25">
      <c r="A3422" s="6" t="s">
        <v>6615</v>
      </c>
      <c r="B3422" s="6"/>
      <c r="C3422" s="2288">
        <v>789</v>
      </c>
      <c r="D3422" s="2288">
        <v>273713567.16427499</v>
      </c>
      <c r="E3422" s="2289">
        <v>21879441.548043098</v>
      </c>
      <c r="F3422" s="2290">
        <v>5.0097523805105801</v>
      </c>
      <c r="G3422" s="2291">
        <v>0.41130563146916099</v>
      </c>
    </row>
    <row r="3423" spans="1:7" x14ac:dyDescent="0.25">
      <c r="A3423" s="11" t="s">
        <v>6616</v>
      </c>
      <c r="B3423" s="11"/>
      <c r="C3423" s="2292">
        <v>551</v>
      </c>
      <c r="D3423" s="2292">
        <v>187150940.00702801</v>
      </c>
      <c r="E3423" s="2293">
        <v>15184285.564954599</v>
      </c>
      <c r="F3423" s="2294">
        <v>3.4254051668995</v>
      </c>
      <c r="G3423" s="2295">
        <v>0.259773804263909</v>
      </c>
    </row>
    <row r="3424" spans="1:7" x14ac:dyDescent="0.25">
      <c r="A3424" s="6" t="s">
        <v>6618</v>
      </c>
      <c r="B3424" s="6"/>
      <c r="C3424" s="2288">
        <v>745</v>
      </c>
      <c r="D3424" s="2288">
        <v>177794208.800239</v>
      </c>
      <c r="E3424" s="2289">
        <v>13491852.120018501</v>
      </c>
      <c r="F3424" s="2290">
        <v>3.25414983994352</v>
      </c>
      <c r="G3424" s="2291">
        <v>0.22738342329095501</v>
      </c>
    </row>
    <row r="3425" spans="1:7" x14ac:dyDescent="0.25">
      <c r="A3425" s="11" t="s">
        <v>6617</v>
      </c>
      <c r="B3425" s="11"/>
      <c r="C3425" s="2292">
        <v>301</v>
      </c>
      <c r="D3425" s="2292">
        <v>170794408.922501</v>
      </c>
      <c r="E3425" s="2293">
        <v>17580356.974055599</v>
      </c>
      <c r="F3425" s="2294">
        <v>3.1260331942693398</v>
      </c>
      <c r="G3425" s="2295">
        <v>0.32320208049438698</v>
      </c>
    </row>
    <row r="3426" spans="1:7" x14ac:dyDescent="0.25">
      <c r="A3426" s="6" t="s">
        <v>4871</v>
      </c>
      <c r="B3426" s="6"/>
      <c r="C3426" s="2288">
        <v>160</v>
      </c>
      <c r="D3426" s="2288">
        <v>110327588.497549</v>
      </c>
      <c r="E3426" s="2289">
        <v>15647445.1326464</v>
      </c>
      <c r="F3426" s="2290">
        <v>2.01931495335731</v>
      </c>
      <c r="G3426" s="2291">
        <v>0.28159097207794398</v>
      </c>
    </row>
    <row r="3427" spans="1:7" x14ac:dyDescent="0.25">
      <c r="A3427" s="11" t="s">
        <v>6619</v>
      </c>
      <c r="B3427" s="11"/>
      <c r="C3427" s="2292">
        <v>466</v>
      </c>
      <c r="D3427" s="2292">
        <v>108113089.981299</v>
      </c>
      <c r="E3427" s="2293">
        <v>11799239.3657781</v>
      </c>
      <c r="F3427" s="2294">
        <v>1.97878320577768</v>
      </c>
      <c r="G3427" s="2295">
        <v>0.20730906805407301</v>
      </c>
    </row>
    <row r="3428" spans="1:7" x14ac:dyDescent="0.25">
      <c r="A3428" s="6" t="s">
        <v>6620</v>
      </c>
      <c r="B3428" s="6"/>
      <c r="C3428" s="2288">
        <v>266</v>
      </c>
      <c r="D3428" s="2288">
        <v>63426635.644172102</v>
      </c>
      <c r="E3428" s="2289">
        <v>7875969.7244953597</v>
      </c>
      <c r="F3428" s="2290">
        <v>1.1608914464786599</v>
      </c>
      <c r="G3428" s="2291">
        <v>0.14226899717826599</v>
      </c>
    </row>
    <row r="3429" spans="1:7" x14ac:dyDescent="0.25">
      <c r="A3429" s="11" t="s">
        <v>6622</v>
      </c>
      <c r="B3429" s="11"/>
      <c r="C3429" s="2292">
        <v>167</v>
      </c>
      <c r="D3429" s="2292">
        <v>50258808.769197702</v>
      </c>
      <c r="E3429" s="2293">
        <v>10270193.6358994</v>
      </c>
      <c r="F3429" s="2294">
        <v>0.91988201199395003</v>
      </c>
      <c r="G3429" s="2295">
        <v>0.19016544969007601</v>
      </c>
    </row>
    <row r="3430" spans="1:7" x14ac:dyDescent="0.25">
      <c r="A3430" s="6" t="s">
        <v>6621</v>
      </c>
      <c r="B3430" s="6"/>
      <c r="C3430" s="2288">
        <v>107</v>
      </c>
      <c r="D3430" s="2288">
        <v>49931122.031212702</v>
      </c>
      <c r="E3430" s="2289">
        <v>12721956.760294899</v>
      </c>
      <c r="F3430" s="2290">
        <v>0.91388439399974597</v>
      </c>
      <c r="G3430" s="2291">
        <v>0.23489493654270499</v>
      </c>
    </row>
    <row r="3431" spans="1:7" x14ac:dyDescent="0.25">
      <c r="A3431" s="11" t="s">
        <v>6623</v>
      </c>
      <c r="B3431" s="11"/>
      <c r="C3431" s="2292">
        <v>67</v>
      </c>
      <c r="D3431" s="2292">
        <v>46261646.727077097</v>
      </c>
      <c r="E3431" s="2293">
        <v>14156767.1034515</v>
      </c>
      <c r="F3431" s="2294">
        <v>0.84672235000400498</v>
      </c>
      <c r="G3431" s="2295">
        <v>0.25957930541124202</v>
      </c>
    </row>
    <row r="3432" spans="1:7" x14ac:dyDescent="0.25">
      <c r="A3432" s="6" t="s">
        <v>6624</v>
      </c>
      <c r="B3432" s="6"/>
      <c r="C3432" s="2288">
        <v>106</v>
      </c>
      <c r="D3432" s="2288">
        <v>30577330.6971092</v>
      </c>
      <c r="E3432" s="2289">
        <v>10304577.9603831</v>
      </c>
      <c r="F3432" s="2290">
        <v>0.55965386311145104</v>
      </c>
      <c r="G3432" s="2291">
        <v>0.18941047330781899</v>
      </c>
    </row>
    <row r="3433" spans="1:7" x14ac:dyDescent="0.25">
      <c r="A3433" s="11" t="s">
        <v>6625</v>
      </c>
      <c r="B3433" s="11"/>
      <c r="C3433" s="2292">
        <v>36</v>
      </c>
      <c r="D3433" s="2292">
        <v>23440650.122118801</v>
      </c>
      <c r="E3433" s="2293">
        <v>5697335.0520332102</v>
      </c>
      <c r="F3433" s="2294">
        <v>0.42903190355749299</v>
      </c>
      <c r="G3433" s="2295">
        <v>0.105083435900449</v>
      </c>
    </row>
    <row r="3434" spans="1:7" x14ac:dyDescent="0.25">
      <c r="A3434" s="6" t="s">
        <v>6626</v>
      </c>
      <c r="B3434" s="6"/>
      <c r="C3434" s="2288">
        <v>65</v>
      </c>
      <c r="D3434" s="2288">
        <v>17773744.8673204</v>
      </c>
      <c r="E3434" s="2289">
        <v>4325073.4396923203</v>
      </c>
      <c r="F3434" s="2290">
        <v>0.32531109649455398</v>
      </c>
      <c r="G3434" s="2291">
        <v>8.1218933718412295E-2</v>
      </c>
    </row>
    <row r="3435" spans="1:7" x14ac:dyDescent="0.25">
      <c r="A3435" s="11" t="s">
        <v>6627</v>
      </c>
      <c r="B3435" s="11"/>
      <c r="C3435" s="2292">
        <v>10</v>
      </c>
      <c r="D3435" s="2292">
        <v>16149823.680187199</v>
      </c>
      <c r="E3435" s="2293">
        <v>13135757.9003282</v>
      </c>
      <c r="F3435" s="2294">
        <v>0.29558862742849101</v>
      </c>
      <c r="G3435" s="2295">
        <v>0.24019635148853999</v>
      </c>
    </row>
    <row r="3436" spans="1:7" x14ac:dyDescent="0.25">
      <c r="A3436" s="6" t="s">
        <v>6628</v>
      </c>
      <c r="B3436" s="6"/>
      <c r="C3436" s="2288">
        <v>25</v>
      </c>
      <c r="D3436" s="2288">
        <v>13953153.203043001</v>
      </c>
      <c r="E3436" s="2289">
        <v>5646000.0763648599</v>
      </c>
      <c r="F3436" s="2290">
        <v>0.25538318468744498</v>
      </c>
      <c r="G3436" s="2291">
        <v>0.103722500239554</v>
      </c>
    </row>
    <row r="3437" spans="1:7" x14ac:dyDescent="0.25">
      <c r="A3437" s="11" t="s">
        <v>6629</v>
      </c>
      <c r="B3437" s="11"/>
      <c r="C3437" s="2292">
        <v>3</v>
      </c>
      <c r="D3437" s="2292">
        <v>7280379.0896787504</v>
      </c>
      <c r="E3437" s="2293">
        <v>7314303.6283075996</v>
      </c>
      <c r="F3437" s="2294">
        <v>0.133252059272778</v>
      </c>
      <c r="G3437" s="2295">
        <v>0.13406161815440701</v>
      </c>
    </row>
    <row r="3438" spans="1:7" x14ac:dyDescent="0.25">
      <c r="A3438" s="6" t="s">
        <v>6630</v>
      </c>
      <c r="B3438" s="6"/>
      <c r="C3438" s="2288">
        <v>31</v>
      </c>
      <c r="D3438" s="2288">
        <v>5778235.7107253997</v>
      </c>
      <c r="E3438" s="2289">
        <v>2415159.5211703698</v>
      </c>
      <c r="F3438" s="2290">
        <v>0.105758477399786</v>
      </c>
      <c r="G3438" s="2291">
        <v>4.4331892747097701E-2</v>
      </c>
    </row>
    <row r="3439" spans="1:7" x14ac:dyDescent="0.25">
      <c r="A3439" s="11" t="s">
        <v>6632</v>
      </c>
      <c r="B3439" s="11"/>
      <c r="C3439" s="2292">
        <v>4</v>
      </c>
      <c r="D3439" s="2292">
        <v>4399246.6120815696</v>
      </c>
      <c r="E3439" s="2293">
        <v>2947716.8775435798</v>
      </c>
      <c r="F3439" s="2294">
        <v>8.0518976153277397E-2</v>
      </c>
      <c r="G3439" s="2295">
        <v>5.4262984882289901E-2</v>
      </c>
    </row>
    <row r="3440" spans="1:7" x14ac:dyDescent="0.25">
      <c r="A3440" s="6" t="s">
        <v>6633</v>
      </c>
      <c r="B3440" s="6"/>
      <c r="C3440" s="2288">
        <v>14</v>
      </c>
      <c r="D3440" s="2288">
        <v>4225404.6343164304</v>
      </c>
      <c r="E3440" s="2289">
        <v>2353625.6045699199</v>
      </c>
      <c r="F3440" s="2290">
        <v>7.7337163607540907E-2</v>
      </c>
      <c r="G3440" s="2291">
        <v>4.3063523163065602E-2</v>
      </c>
    </row>
    <row r="3441" spans="1:7" x14ac:dyDescent="0.25">
      <c r="A3441" s="11" t="s">
        <v>6631</v>
      </c>
      <c r="B3441" s="11"/>
      <c r="C3441" s="2292">
        <v>21</v>
      </c>
      <c r="D3441" s="2292">
        <v>4030209.9280743399</v>
      </c>
      <c r="E3441" s="2293">
        <v>2578146.7365832999</v>
      </c>
      <c r="F3441" s="2294">
        <v>7.3764534181859395E-2</v>
      </c>
      <c r="G3441" s="2295">
        <v>4.6981010084938102E-2</v>
      </c>
    </row>
    <row r="3442" spans="1:7" x14ac:dyDescent="0.25">
      <c r="A3442" s="6" t="s">
        <v>6634</v>
      </c>
      <c r="B3442" s="6"/>
      <c r="C3442" s="2288">
        <v>12</v>
      </c>
      <c r="D3442" s="2288">
        <v>4002696.5010816799</v>
      </c>
      <c r="E3442" s="2289">
        <v>1916656.2466726501</v>
      </c>
      <c r="F3442" s="2290">
        <v>7.3260958645576996E-2</v>
      </c>
      <c r="G3442" s="2291">
        <v>3.47693313355808E-2</v>
      </c>
    </row>
    <row r="3443" spans="1:7" x14ac:dyDescent="0.25">
      <c r="A3443" s="11" t="s">
        <v>6635</v>
      </c>
      <c r="B3443" s="11"/>
      <c r="C3443" s="2292">
        <v>11</v>
      </c>
      <c r="D3443" s="2292">
        <v>1634815.8929029601</v>
      </c>
      <c r="E3443" s="2293">
        <v>1228018.67655718</v>
      </c>
      <c r="F3443" s="2294">
        <v>2.9921873789514102E-2</v>
      </c>
      <c r="G3443" s="2295">
        <v>2.2362984706892498E-2</v>
      </c>
    </row>
    <row r="3444" spans="1:7" x14ac:dyDescent="0.25">
      <c r="A3444" s="6" t="s">
        <v>6636</v>
      </c>
      <c r="B3444" s="6"/>
      <c r="C3444" s="2288">
        <v>7</v>
      </c>
      <c r="D3444" s="2288">
        <v>1578503.10971775</v>
      </c>
      <c r="E3444" s="2289">
        <v>1240723.51710455</v>
      </c>
      <c r="F3444" s="2290">
        <v>2.8891186481836799E-2</v>
      </c>
      <c r="G3444" s="2291">
        <v>2.26012036431802E-2</v>
      </c>
    </row>
    <row r="3445" spans="1:7" x14ac:dyDescent="0.25">
      <c r="A3445" s="11" t="s">
        <v>6637</v>
      </c>
      <c r="B3445" s="11"/>
      <c r="C3445" s="2292">
        <v>2</v>
      </c>
      <c r="D3445" s="2292">
        <v>729387.19685492595</v>
      </c>
      <c r="E3445" s="2293">
        <v>814502.51726735802</v>
      </c>
      <c r="F3445" s="2294">
        <v>1.3349901810182601E-2</v>
      </c>
      <c r="G3445" s="2295">
        <v>1.4871033578440499E-2</v>
      </c>
    </row>
    <row r="3446" spans="1:7" x14ac:dyDescent="0.25">
      <c r="A3446" s="6" t="s">
        <v>6638</v>
      </c>
      <c r="B3446" s="6"/>
      <c r="C3446" s="2288">
        <v>1</v>
      </c>
      <c r="D3446" s="2288">
        <v>501312.23806602199</v>
      </c>
      <c r="E3446" s="2289">
        <v>521136.99348931201</v>
      </c>
      <c r="F3446" s="2290">
        <v>9.1754683702727907E-3</v>
      </c>
      <c r="G3446" s="2291">
        <v>9.5213983854366604E-3</v>
      </c>
    </row>
    <row r="3447" spans="1:7" x14ac:dyDescent="0.25">
      <c r="A3447" s="11" t="s">
        <v>6639</v>
      </c>
      <c r="B3447" s="11"/>
      <c r="C3447" s="2292">
        <v>4</v>
      </c>
      <c r="D3447" s="2292">
        <v>487769.39829261601</v>
      </c>
      <c r="E3447" s="2293">
        <v>365803.23067320598</v>
      </c>
      <c r="F3447" s="2294">
        <v>8.9275951117544199E-3</v>
      </c>
      <c r="G3447" s="2295">
        <v>6.6712493634632098E-3</v>
      </c>
    </row>
    <row r="3448" spans="1:7" x14ac:dyDescent="0.25">
      <c r="A3448" s="6" t="s">
        <v>6640</v>
      </c>
      <c r="B3448" s="6"/>
      <c r="C3448" s="2288">
        <v>2</v>
      </c>
      <c r="D3448" s="2288">
        <v>351853.93387380202</v>
      </c>
      <c r="E3448" s="2289">
        <v>361012.97854718001</v>
      </c>
      <c r="F3448" s="2290">
        <v>6.4399477931555002E-3</v>
      </c>
      <c r="G3448" s="2291">
        <v>6.5931242991796599E-3</v>
      </c>
    </row>
    <row r="3449" spans="1:7" x14ac:dyDescent="0.25">
      <c r="A3449" s="11" t="s">
        <v>6641</v>
      </c>
      <c r="B3449" s="11"/>
      <c r="C3449" s="2292">
        <v>1</v>
      </c>
      <c r="D3449" s="2292">
        <v>284116.00850133499</v>
      </c>
      <c r="E3449" s="2293">
        <v>301287.927345259</v>
      </c>
      <c r="F3449" s="2294">
        <v>5.2001472366785297E-3</v>
      </c>
      <c r="G3449" s="2295">
        <v>5.5009964442394596E-3</v>
      </c>
    </row>
    <row r="3450" spans="1:7" x14ac:dyDescent="0.25">
      <c r="A3450" s="6" t="s">
        <v>6642</v>
      </c>
      <c r="B3450" s="6"/>
      <c r="C3450" s="2288">
        <v>1</v>
      </c>
      <c r="D3450" s="2288">
        <v>284116.00850133499</v>
      </c>
      <c r="E3450" s="2289">
        <v>301287.927345259</v>
      </c>
      <c r="F3450" s="2290">
        <v>5.2001472366785297E-3</v>
      </c>
      <c r="G3450" s="2291">
        <v>5.5009964442394596E-3</v>
      </c>
    </row>
    <row r="3451" spans="1:7" x14ac:dyDescent="0.25">
      <c r="A3451" s="11" t="s">
        <v>6643</v>
      </c>
      <c r="B3451" s="11"/>
      <c r="C3451" s="2292">
        <v>1</v>
      </c>
      <c r="D3451" s="2292">
        <v>266686.02773972502</v>
      </c>
      <c r="E3451" s="2293">
        <v>301072.41585154302</v>
      </c>
      <c r="F3451" s="2294">
        <v>4.88112802065142E-3</v>
      </c>
      <c r="G3451" s="2295">
        <v>5.5050562544245504E-3</v>
      </c>
    </row>
    <row r="3452" spans="1:7" x14ac:dyDescent="0.25">
      <c r="A3452" s="6" t="s">
        <v>6645</v>
      </c>
      <c r="B3452" s="6"/>
      <c r="C3452" s="2288">
        <v>1</v>
      </c>
      <c r="D3452" s="2288">
        <v>170160.22205518099</v>
      </c>
      <c r="E3452" s="2289">
        <v>174504.24215422099</v>
      </c>
      <c r="F3452" s="2290">
        <v>3.1144257346861098E-3</v>
      </c>
      <c r="G3452" s="2291">
        <v>3.1874584787938E-3</v>
      </c>
    </row>
    <row r="3453" spans="1:7" x14ac:dyDescent="0.25">
      <c r="A3453" s="11" t="s">
        <v>6644</v>
      </c>
      <c r="B3453" s="11"/>
      <c r="C3453" s="2292">
        <v>1</v>
      </c>
      <c r="D3453" s="2292">
        <v>170160.22205518099</v>
      </c>
      <c r="E3453" s="2293">
        <v>174504.24215422099</v>
      </c>
      <c r="F3453" s="2294">
        <v>3.1144257346861098E-3</v>
      </c>
      <c r="G3453" s="2295">
        <v>3.1874584787938E-3</v>
      </c>
    </row>
    <row r="3454" spans="1:7" x14ac:dyDescent="0.25">
      <c r="A3454" s="6" t="s">
        <v>6293</v>
      </c>
      <c r="B3454" s="6" t="s">
        <v>6294</v>
      </c>
      <c r="C3454" s="2288">
        <v>19779</v>
      </c>
      <c r="D3454" s="2288">
        <v>5463614693.3948603</v>
      </c>
      <c r="E3454" s="2289">
        <v>72575038.820914894</v>
      </c>
      <c r="F3454" s="2290">
        <v>100</v>
      </c>
      <c r="G3454" s="2291">
        <v>2.0557335828564899E-14</v>
      </c>
    </row>
    <row r="3455" spans="1:7" x14ac:dyDescent="0.25">
      <c r="A3455" s="11" t="s">
        <v>6293</v>
      </c>
      <c r="B3455" s="11" t="s">
        <v>6295</v>
      </c>
      <c r="C3455" s="2292">
        <v>19779</v>
      </c>
      <c r="D3455" s="2292">
        <v>5463614693.3948603</v>
      </c>
      <c r="E3455" s="2293">
        <v>0</v>
      </c>
      <c r="F3455" s="2294">
        <v>100</v>
      </c>
      <c r="G3455" s="2295">
        <v>0</v>
      </c>
    </row>
    <row r="3456" spans="1:7" x14ac:dyDescent="0.25">
      <c r="A3456" s="3353" t="s">
        <v>635</v>
      </c>
      <c r="B3456" s="3354"/>
      <c r="C3456" s="3354"/>
      <c r="D3456" s="3354"/>
      <c r="E3456" s="3354"/>
      <c r="F3456" s="3354"/>
      <c r="G3456" s="3354"/>
    </row>
    <row r="3457" spans="1:7" x14ac:dyDescent="0.25">
      <c r="A3457" s="11" t="s">
        <v>6293</v>
      </c>
      <c r="B3457" s="11" t="s">
        <v>6294</v>
      </c>
      <c r="C3457" s="2300">
        <v>19734</v>
      </c>
      <c r="D3457" s="2300">
        <v>5463614693.3948698</v>
      </c>
      <c r="E3457" s="2301">
        <v>72575038.820913702</v>
      </c>
      <c r="F3457" s="2302">
        <v>100</v>
      </c>
      <c r="G3457" s="2303">
        <v>2.29838001744816E-14</v>
      </c>
    </row>
    <row r="3458" spans="1:7" x14ac:dyDescent="0.25">
      <c r="A3458" s="6" t="s">
        <v>6293</v>
      </c>
      <c r="B3458" s="6" t="s">
        <v>6295</v>
      </c>
      <c r="C3458" s="2296">
        <v>19734</v>
      </c>
      <c r="D3458" s="2296">
        <v>5463614693.3948698</v>
      </c>
      <c r="E3458" s="2297">
        <v>0</v>
      </c>
      <c r="F3458" s="2298">
        <v>100</v>
      </c>
      <c r="G3458" s="2299">
        <v>0</v>
      </c>
    </row>
    <row r="3459" spans="1:7" x14ac:dyDescent="0.25">
      <c r="A3459" s="3353" t="s">
        <v>176</v>
      </c>
      <c r="B3459" s="3354"/>
      <c r="C3459" s="3354"/>
      <c r="D3459" s="3354"/>
      <c r="E3459" s="3354"/>
      <c r="F3459" s="3354"/>
      <c r="G3459" s="3354"/>
    </row>
    <row r="3460" spans="1:7" x14ac:dyDescent="0.25">
      <c r="A3460" s="11" t="s">
        <v>6293</v>
      </c>
      <c r="B3460" s="11" t="s">
        <v>6294</v>
      </c>
      <c r="C3460" s="2308">
        <v>19732</v>
      </c>
      <c r="D3460" s="2308">
        <v>5463614693.3948698</v>
      </c>
      <c r="E3460" s="2309">
        <v>72575038.820912704</v>
      </c>
      <c r="F3460" s="2310">
        <v>100</v>
      </c>
      <c r="G3460" s="2311">
        <v>2.0557335828564899E-14</v>
      </c>
    </row>
    <row r="3461" spans="1:7" x14ac:dyDescent="0.25">
      <c r="A3461" s="6" t="s">
        <v>6293</v>
      </c>
      <c r="B3461" s="6" t="s">
        <v>6295</v>
      </c>
      <c r="C3461" s="2304">
        <v>19732</v>
      </c>
      <c r="D3461" s="2304">
        <v>5463614693.3948698</v>
      </c>
      <c r="E3461" s="2305">
        <v>0</v>
      </c>
      <c r="F3461" s="2306">
        <v>100</v>
      </c>
      <c r="G3461" s="2307">
        <v>0</v>
      </c>
    </row>
    <row r="3462" spans="1:7" x14ac:dyDescent="0.25">
      <c r="A3462" s="3353" t="s">
        <v>637</v>
      </c>
      <c r="B3462" s="3354"/>
      <c r="C3462" s="3354"/>
      <c r="D3462" s="3354"/>
      <c r="E3462" s="3354"/>
      <c r="F3462" s="3354"/>
      <c r="G3462" s="3354"/>
    </row>
    <row r="3463" spans="1:7" x14ac:dyDescent="0.25">
      <c r="A3463" s="11" t="s">
        <v>6293</v>
      </c>
      <c r="B3463" s="11" t="s">
        <v>6294</v>
      </c>
      <c r="C3463" s="2316">
        <v>16343</v>
      </c>
      <c r="D3463" s="2316">
        <v>5463614693.3948698</v>
      </c>
      <c r="E3463" s="2317">
        <v>72575038.820913196</v>
      </c>
      <c r="F3463" s="2318">
        <v>100</v>
      </c>
      <c r="G3463" s="2319">
        <v>1.78031750616652E-14</v>
      </c>
    </row>
    <row r="3464" spans="1:7" x14ac:dyDescent="0.25">
      <c r="A3464" s="6" t="s">
        <v>6293</v>
      </c>
      <c r="B3464" s="6" t="s">
        <v>6295</v>
      </c>
      <c r="C3464" s="2312">
        <v>16343</v>
      </c>
      <c r="D3464" s="2312">
        <v>5463614693.3948698</v>
      </c>
      <c r="E3464" s="2313">
        <v>0</v>
      </c>
      <c r="F3464" s="2314">
        <v>100</v>
      </c>
      <c r="G3464" s="2315">
        <v>0</v>
      </c>
    </row>
    <row r="3465" spans="1:7" x14ac:dyDescent="0.25">
      <c r="A3465" s="3353" t="s">
        <v>178</v>
      </c>
      <c r="B3465" s="3354"/>
      <c r="C3465" s="3354"/>
      <c r="D3465" s="3354"/>
      <c r="E3465" s="3354"/>
      <c r="F3465" s="3354"/>
      <c r="G3465" s="3354"/>
    </row>
    <row r="3466" spans="1:7" x14ac:dyDescent="0.25">
      <c r="A3466" s="11" t="s">
        <v>6293</v>
      </c>
      <c r="B3466" s="11" t="s">
        <v>6294</v>
      </c>
      <c r="C3466" s="2324">
        <v>16343</v>
      </c>
      <c r="D3466" s="2324">
        <v>5463614693.3948698</v>
      </c>
      <c r="E3466" s="2325">
        <v>72575038.820913196</v>
      </c>
      <c r="F3466" s="2326">
        <v>100</v>
      </c>
      <c r="G3466" s="2327">
        <v>1.78031750616652E-14</v>
      </c>
    </row>
    <row r="3467" spans="1:7" x14ac:dyDescent="0.25">
      <c r="A3467" s="6" t="s">
        <v>6293</v>
      </c>
      <c r="B3467" s="6" t="s">
        <v>6295</v>
      </c>
      <c r="C3467" s="2320">
        <v>16343</v>
      </c>
      <c r="D3467" s="2320">
        <v>5463614693.3948698</v>
      </c>
      <c r="E3467" s="2321">
        <v>0</v>
      </c>
      <c r="F3467" s="2322">
        <v>100</v>
      </c>
      <c r="G3467" s="2323">
        <v>0</v>
      </c>
    </row>
    <row r="3468" spans="1:7" x14ac:dyDescent="0.25">
      <c r="A3468" s="3353" t="s">
        <v>631</v>
      </c>
      <c r="B3468" s="3354"/>
      <c r="C3468" s="3354"/>
      <c r="D3468" s="3354"/>
      <c r="E3468" s="3354"/>
      <c r="F3468" s="3354"/>
      <c r="G3468" s="3354"/>
    </row>
    <row r="3469" spans="1:7" x14ac:dyDescent="0.25">
      <c r="A3469" s="11" t="s">
        <v>1003</v>
      </c>
      <c r="B3469" s="11"/>
      <c r="C3469" s="2332">
        <v>1974</v>
      </c>
      <c r="D3469" s="2332">
        <v>725166323.36682296</v>
      </c>
      <c r="E3469" s="2333">
        <v>52833616.773277298</v>
      </c>
      <c r="F3469" s="2334">
        <v>13.272647579696599</v>
      </c>
      <c r="G3469" s="2335">
        <v>0.92084560214230105</v>
      </c>
    </row>
    <row r="3470" spans="1:7" x14ac:dyDescent="0.25">
      <c r="A3470" s="6" t="s">
        <v>994</v>
      </c>
      <c r="B3470" s="6"/>
      <c r="C3470" s="2328">
        <v>1699</v>
      </c>
      <c r="D3470" s="2328">
        <v>583998292.29200196</v>
      </c>
      <c r="E3470" s="2329">
        <v>41010351.451138899</v>
      </c>
      <c r="F3470" s="2330">
        <v>10.6888630524773</v>
      </c>
      <c r="G3470" s="2331">
        <v>0.75544852632014503</v>
      </c>
    </row>
    <row r="3471" spans="1:7" x14ac:dyDescent="0.25">
      <c r="A3471" s="11" t="s">
        <v>1013</v>
      </c>
      <c r="B3471" s="11"/>
      <c r="C3471" s="2332">
        <v>1665</v>
      </c>
      <c r="D3471" s="2332">
        <v>546875644.13824296</v>
      </c>
      <c r="E3471" s="2333">
        <v>34615204.646305397</v>
      </c>
      <c r="F3471" s="2334">
        <v>10.009410890547899</v>
      </c>
      <c r="G3471" s="2335">
        <v>0.64614248806421104</v>
      </c>
    </row>
    <row r="3472" spans="1:7" x14ac:dyDescent="0.25">
      <c r="A3472" s="6" t="s">
        <v>992</v>
      </c>
      <c r="B3472" s="6"/>
      <c r="C3472" s="2328">
        <v>1574</v>
      </c>
      <c r="D3472" s="2328">
        <v>531466022.83319801</v>
      </c>
      <c r="E3472" s="2329">
        <v>25313268.705042802</v>
      </c>
      <c r="F3472" s="2330">
        <v>9.7273701140694193</v>
      </c>
      <c r="G3472" s="2331">
        <v>0.42243030794867598</v>
      </c>
    </row>
    <row r="3473" spans="1:7" x14ac:dyDescent="0.25">
      <c r="A3473" s="11" t="s">
        <v>990</v>
      </c>
      <c r="B3473" s="11"/>
      <c r="C3473" s="2332">
        <v>1594</v>
      </c>
      <c r="D3473" s="2332">
        <v>490778434.13870698</v>
      </c>
      <c r="E3473" s="2333">
        <v>22244247.723366398</v>
      </c>
      <c r="F3473" s="2334">
        <v>8.9826691975922799</v>
      </c>
      <c r="G3473" s="2335">
        <v>0.400753706787981</v>
      </c>
    </row>
    <row r="3474" spans="1:7" x14ac:dyDescent="0.25">
      <c r="A3474" s="6" t="s">
        <v>988</v>
      </c>
      <c r="B3474" s="6"/>
      <c r="C3474" s="2328">
        <v>1505</v>
      </c>
      <c r="D3474" s="2328">
        <v>441151937.62645698</v>
      </c>
      <c r="E3474" s="2329">
        <v>26310020.738366</v>
      </c>
      <c r="F3474" s="2330">
        <v>8.0743603343731198</v>
      </c>
      <c r="G3474" s="2331">
        <v>0.41133327577862</v>
      </c>
    </row>
    <row r="3475" spans="1:7" x14ac:dyDescent="0.25">
      <c r="A3475" s="11" t="s">
        <v>986</v>
      </c>
      <c r="B3475" s="11"/>
      <c r="C3475" s="2332">
        <v>1543</v>
      </c>
      <c r="D3475" s="2332">
        <v>437589461.69460201</v>
      </c>
      <c r="E3475" s="2333">
        <v>18934877.413254701</v>
      </c>
      <c r="F3475" s="2334">
        <v>8.0091566893181003</v>
      </c>
      <c r="G3475" s="2335">
        <v>0.34269559063425098</v>
      </c>
    </row>
    <row r="3476" spans="1:7" x14ac:dyDescent="0.25">
      <c r="A3476" s="6" t="s">
        <v>1015</v>
      </c>
      <c r="B3476" s="6"/>
      <c r="C3476" s="2328">
        <v>1687</v>
      </c>
      <c r="D3476" s="2328">
        <v>378006297.92254001</v>
      </c>
      <c r="E3476" s="2329">
        <v>40776973.526423603</v>
      </c>
      <c r="F3476" s="2330">
        <v>6.9186119288302601</v>
      </c>
      <c r="G3476" s="2331">
        <v>0.73544081411701401</v>
      </c>
    </row>
    <row r="3477" spans="1:7" x14ac:dyDescent="0.25">
      <c r="A3477" s="11" t="s">
        <v>1019</v>
      </c>
      <c r="B3477" s="11"/>
      <c r="C3477" s="2332">
        <v>1735</v>
      </c>
      <c r="D3477" s="2332">
        <v>364559049.65626401</v>
      </c>
      <c r="E3477" s="2333">
        <v>24433784.5819939</v>
      </c>
      <c r="F3477" s="2334">
        <v>6.6724882722237</v>
      </c>
      <c r="G3477" s="2335">
        <v>0.44117896206449297</v>
      </c>
    </row>
    <row r="3478" spans="1:7" x14ac:dyDescent="0.25">
      <c r="A3478" s="6" t="s">
        <v>984</v>
      </c>
      <c r="B3478" s="6"/>
      <c r="C3478" s="2328">
        <v>1474</v>
      </c>
      <c r="D3478" s="2328">
        <v>334709241.49165499</v>
      </c>
      <c r="E3478" s="2329">
        <v>24763698.707782201</v>
      </c>
      <c r="F3478" s="2330">
        <v>6.1261501821549702</v>
      </c>
      <c r="G3478" s="2331">
        <v>0.44942037932544798</v>
      </c>
    </row>
    <row r="3479" spans="1:7" x14ac:dyDescent="0.25">
      <c r="A3479" s="11" t="s">
        <v>1021</v>
      </c>
      <c r="B3479" s="11"/>
      <c r="C3479" s="2332">
        <v>1642</v>
      </c>
      <c r="D3479" s="2332">
        <v>324327318.347794</v>
      </c>
      <c r="E3479" s="2333">
        <v>19956726.450965598</v>
      </c>
      <c r="F3479" s="2334">
        <v>5.9361308684502196</v>
      </c>
      <c r="G3479" s="2335">
        <v>0.39809701920532597</v>
      </c>
    </row>
    <row r="3480" spans="1:7" x14ac:dyDescent="0.25">
      <c r="A3480" s="6" t="s">
        <v>1017</v>
      </c>
      <c r="B3480" s="6"/>
      <c r="C3480" s="2328">
        <v>1687</v>
      </c>
      <c r="D3480" s="2328">
        <v>304986669.88658398</v>
      </c>
      <c r="E3480" s="2329">
        <v>25961882.7873355</v>
      </c>
      <c r="F3480" s="2330">
        <v>5.58214089026613</v>
      </c>
      <c r="G3480" s="2331">
        <v>0.46361109683378099</v>
      </c>
    </row>
    <row r="3481" spans="1:7" x14ac:dyDescent="0.25">
      <c r="A3481" s="11" t="s">
        <v>6293</v>
      </c>
      <c r="B3481" s="11" t="s">
        <v>6294</v>
      </c>
      <c r="C3481" s="2332">
        <v>19779</v>
      </c>
      <c r="D3481" s="2332">
        <v>5463614693.3948698</v>
      </c>
      <c r="E3481" s="2333">
        <v>72575038.820911497</v>
      </c>
      <c r="F3481" s="2334">
        <v>100</v>
      </c>
      <c r="G3481" s="2335">
        <v>9.5873031797334296E-14</v>
      </c>
    </row>
    <row r="3482" spans="1:7" x14ac:dyDescent="0.25">
      <c r="A3482" s="6" t="s">
        <v>6293</v>
      </c>
      <c r="B3482" s="6" t="s">
        <v>6295</v>
      </c>
      <c r="C3482" s="2328">
        <v>19779</v>
      </c>
      <c r="D3482" s="2328">
        <v>5463614693.3948698</v>
      </c>
      <c r="E3482" s="2329">
        <v>0</v>
      </c>
      <c r="F3482" s="2330">
        <v>100</v>
      </c>
      <c r="G3482" s="2331">
        <v>0</v>
      </c>
    </row>
    <row r="3483" spans="1:7" x14ac:dyDescent="0.25">
      <c r="A3483" s="3353" t="s">
        <v>633</v>
      </c>
      <c r="B3483" s="3354"/>
      <c r="C3483" s="3354"/>
      <c r="D3483" s="3354"/>
      <c r="E3483" s="3354"/>
      <c r="F3483" s="3354"/>
      <c r="G3483" s="3354"/>
    </row>
    <row r="3484" spans="1:7" x14ac:dyDescent="0.25">
      <c r="A3484" s="11" t="s">
        <v>1174</v>
      </c>
      <c r="B3484" s="11"/>
      <c r="C3484" s="2340">
        <v>4025</v>
      </c>
      <c r="D3484" s="2340">
        <v>1134621554.8538101</v>
      </c>
      <c r="E3484" s="2341">
        <v>59100716.811030902</v>
      </c>
      <c r="F3484" s="2342">
        <v>20.766866232816302</v>
      </c>
      <c r="G3484" s="2343">
        <v>0.96088851949407095</v>
      </c>
    </row>
    <row r="3485" spans="1:7" x14ac:dyDescent="0.25">
      <c r="A3485" s="6" t="s">
        <v>1179</v>
      </c>
      <c r="B3485" s="6"/>
      <c r="C3485" s="2336">
        <v>3431</v>
      </c>
      <c r="D3485" s="2336">
        <v>978315413.22670603</v>
      </c>
      <c r="E3485" s="2337">
        <v>40565373.348662399</v>
      </c>
      <c r="F3485" s="2338">
        <v>17.906010363604601</v>
      </c>
      <c r="G3485" s="2339">
        <v>0.74384473967198805</v>
      </c>
    </row>
    <row r="3486" spans="1:7" x14ac:dyDescent="0.25">
      <c r="A3486" s="11" t="s">
        <v>3083</v>
      </c>
      <c r="B3486" s="11"/>
      <c r="C3486" s="2340">
        <v>1718</v>
      </c>
      <c r="D3486" s="2340">
        <v>452723939.46345502</v>
      </c>
      <c r="E3486" s="2341">
        <v>31462188.198070601</v>
      </c>
      <c r="F3486" s="2342">
        <v>8.2861615408342608</v>
      </c>
      <c r="G3486" s="2343">
        <v>0.60446743312893003</v>
      </c>
    </row>
    <row r="3487" spans="1:7" x14ac:dyDescent="0.25">
      <c r="A3487" s="6" t="s">
        <v>1027</v>
      </c>
      <c r="B3487" s="6"/>
      <c r="C3487" s="2336">
        <v>1625</v>
      </c>
      <c r="D3487" s="2336">
        <v>422199803.38736099</v>
      </c>
      <c r="E3487" s="2337">
        <v>36828914.524147898</v>
      </c>
      <c r="F3487" s="2338">
        <v>7.7274812936163304</v>
      </c>
      <c r="G3487" s="2339">
        <v>0.69384554094414197</v>
      </c>
    </row>
    <row r="3488" spans="1:7" x14ac:dyDescent="0.25">
      <c r="A3488" s="11" t="s">
        <v>1177</v>
      </c>
      <c r="B3488" s="11"/>
      <c r="C3488" s="2340">
        <v>839</v>
      </c>
      <c r="D3488" s="2340">
        <v>232837343.74320701</v>
      </c>
      <c r="E3488" s="2341">
        <v>12691116.052864799</v>
      </c>
      <c r="F3488" s="2342">
        <v>4.2615989012675302</v>
      </c>
      <c r="G3488" s="2343">
        <v>0.23816826096947299</v>
      </c>
    </row>
    <row r="3489" spans="1:7" x14ac:dyDescent="0.25">
      <c r="A3489" s="6" t="s">
        <v>1017</v>
      </c>
      <c r="B3489" s="6"/>
      <c r="C3489" s="2336">
        <v>832</v>
      </c>
      <c r="D3489" s="2336">
        <v>226459620.02394301</v>
      </c>
      <c r="E3489" s="2337">
        <v>27232786.476537399</v>
      </c>
      <c r="F3489" s="2338">
        <v>4.1448680540689802</v>
      </c>
      <c r="G3489" s="2339">
        <v>0.50321202468909998</v>
      </c>
    </row>
    <row r="3490" spans="1:7" x14ac:dyDescent="0.25">
      <c r="A3490" s="11" t="s">
        <v>1181</v>
      </c>
      <c r="B3490" s="11"/>
      <c r="C3490" s="2340">
        <v>760</v>
      </c>
      <c r="D3490" s="2340">
        <v>223429120.44357499</v>
      </c>
      <c r="E3490" s="2341">
        <v>19568216.426500399</v>
      </c>
      <c r="F3490" s="2342">
        <v>4.0894011196229796</v>
      </c>
      <c r="G3490" s="2343">
        <v>0.38743669152641502</v>
      </c>
    </row>
    <row r="3491" spans="1:7" x14ac:dyDescent="0.25">
      <c r="A3491" s="6" t="s">
        <v>1183</v>
      </c>
      <c r="B3491" s="6"/>
      <c r="C3491" s="2336">
        <v>802</v>
      </c>
      <c r="D3491" s="2336">
        <v>187654952.30129099</v>
      </c>
      <c r="E3491" s="2337">
        <v>14676117.438296599</v>
      </c>
      <c r="F3491" s="2338">
        <v>3.4346300541316102</v>
      </c>
      <c r="G3491" s="2339">
        <v>0.27433385634719898</v>
      </c>
    </row>
    <row r="3492" spans="1:7" x14ac:dyDescent="0.25">
      <c r="A3492" s="11" t="s">
        <v>3097</v>
      </c>
      <c r="B3492" s="11"/>
      <c r="C3492" s="2340">
        <v>522</v>
      </c>
      <c r="D3492" s="2340">
        <v>150291993.04157901</v>
      </c>
      <c r="E3492" s="2341">
        <v>16142664.8146386</v>
      </c>
      <c r="F3492" s="2342">
        <v>2.7507795017696299</v>
      </c>
      <c r="G3492" s="2343">
        <v>0.302075021334058</v>
      </c>
    </row>
    <row r="3493" spans="1:7" x14ac:dyDescent="0.25">
      <c r="A3493" s="6" t="s">
        <v>3054</v>
      </c>
      <c r="B3493" s="6"/>
      <c r="C3493" s="2336">
        <v>504</v>
      </c>
      <c r="D3493" s="2336">
        <v>148927615.52038601</v>
      </c>
      <c r="E3493" s="2337">
        <v>17540949.330881599</v>
      </c>
      <c r="F3493" s="2338">
        <v>2.72580743478176</v>
      </c>
      <c r="G3493" s="2339">
        <v>0.32503191006854398</v>
      </c>
    </row>
    <row r="3494" spans="1:7" x14ac:dyDescent="0.25">
      <c r="A3494" s="11" t="s">
        <v>992</v>
      </c>
      <c r="B3494" s="11"/>
      <c r="C3494" s="2340">
        <v>561</v>
      </c>
      <c r="D3494" s="2340">
        <v>148415852.63661301</v>
      </c>
      <c r="E3494" s="2341">
        <v>18734403.054390602</v>
      </c>
      <c r="F3494" s="2342">
        <v>2.7164406892755002</v>
      </c>
      <c r="G3494" s="2343">
        <v>0.34004640157447502</v>
      </c>
    </row>
    <row r="3495" spans="1:7" x14ac:dyDescent="0.25">
      <c r="A3495" s="6" t="s">
        <v>3069</v>
      </c>
      <c r="B3495" s="6"/>
      <c r="C3495" s="2336">
        <v>563</v>
      </c>
      <c r="D3495" s="2336">
        <v>139202182.466923</v>
      </c>
      <c r="E3495" s="2337">
        <v>16549493.0407554</v>
      </c>
      <c r="F3495" s="2338">
        <v>2.5478037943489902</v>
      </c>
      <c r="G3495" s="2339">
        <v>0.29451337851576298</v>
      </c>
    </row>
    <row r="3496" spans="1:7" x14ac:dyDescent="0.25">
      <c r="A3496" s="11" t="s">
        <v>3075</v>
      </c>
      <c r="B3496" s="11"/>
      <c r="C3496" s="2340">
        <v>103</v>
      </c>
      <c r="D3496" s="2340">
        <v>45072847.334151201</v>
      </c>
      <c r="E3496" s="2341">
        <v>17264786.808118299</v>
      </c>
      <c r="F3496" s="2342">
        <v>0.82496387215301203</v>
      </c>
      <c r="G3496" s="2343">
        <v>0.31498683812258899</v>
      </c>
    </row>
    <row r="3497" spans="1:7" x14ac:dyDescent="0.25">
      <c r="A3497" s="6" t="s">
        <v>1021</v>
      </c>
      <c r="B3497" s="6"/>
      <c r="C3497" s="2336">
        <v>123</v>
      </c>
      <c r="D3497" s="2336">
        <v>43733278.957769401</v>
      </c>
      <c r="E3497" s="2337">
        <v>9554121.9827142209</v>
      </c>
      <c r="F3497" s="2338">
        <v>0.80044588449181797</v>
      </c>
      <c r="G3497" s="2339">
        <v>0.17484467888281799</v>
      </c>
    </row>
    <row r="3498" spans="1:7" x14ac:dyDescent="0.25">
      <c r="A3498" s="11" t="s">
        <v>1029</v>
      </c>
      <c r="B3498" s="11"/>
      <c r="C3498" s="2340">
        <v>95</v>
      </c>
      <c r="D3498" s="2340">
        <v>36798870.357113801</v>
      </c>
      <c r="E3498" s="2341">
        <v>10083029.686796401</v>
      </c>
      <c r="F3498" s="2342">
        <v>0.67352608890230004</v>
      </c>
      <c r="G3498" s="2343">
        <v>0.181382937363366</v>
      </c>
    </row>
    <row r="3499" spans="1:7" x14ac:dyDescent="0.25">
      <c r="A3499" s="6" t="s">
        <v>994</v>
      </c>
      <c r="B3499" s="6"/>
      <c r="C3499" s="2336">
        <v>113</v>
      </c>
      <c r="D3499" s="2336">
        <v>36364975.536638103</v>
      </c>
      <c r="E3499" s="2337">
        <v>14738317.396917799</v>
      </c>
      <c r="F3499" s="2338">
        <v>0.66558455486622903</v>
      </c>
      <c r="G3499" s="2339">
        <v>0.26966855769544401</v>
      </c>
    </row>
    <row r="3500" spans="1:7" x14ac:dyDescent="0.25">
      <c r="A3500" s="11" t="s">
        <v>986</v>
      </c>
      <c r="B3500" s="11"/>
      <c r="C3500" s="2340">
        <v>100</v>
      </c>
      <c r="D3500" s="2340">
        <v>33881259.492391497</v>
      </c>
      <c r="E3500" s="2341">
        <v>8589572.8481177595</v>
      </c>
      <c r="F3500" s="2342">
        <v>0.62012534546683096</v>
      </c>
      <c r="G3500" s="2343">
        <v>0.15283261649709001</v>
      </c>
    </row>
    <row r="3501" spans="1:7" x14ac:dyDescent="0.25">
      <c r="A3501" s="6" t="s">
        <v>3085</v>
      </c>
      <c r="B3501" s="6"/>
      <c r="C3501" s="2336">
        <v>110</v>
      </c>
      <c r="D3501" s="2336">
        <v>31848055.044671901</v>
      </c>
      <c r="E3501" s="2337">
        <v>9852252.5719422791</v>
      </c>
      <c r="F3501" s="2338">
        <v>0.58291180531405395</v>
      </c>
      <c r="G3501" s="2339">
        <v>0.181530993510641</v>
      </c>
    </row>
    <row r="3502" spans="1:7" x14ac:dyDescent="0.25">
      <c r="A3502" s="11" t="s">
        <v>1079</v>
      </c>
      <c r="B3502" s="11"/>
      <c r="C3502" s="2340">
        <v>99</v>
      </c>
      <c r="D3502" s="2340">
        <v>30855742.936899301</v>
      </c>
      <c r="E3502" s="2341">
        <v>11131870.026056601</v>
      </c>
      <c r="F3502" s="2342">
        <v>0.56474961483286401</v>
      </c>
      <c r="G3502" s="2343">
        <v>0.20104971235156399</v>
      </c>
    </row>
    <row r="3503" spans="1:7" x14ac:dyDescent="0.25">
      <c r="A3503" s="6" t="s">
        <v>984</v>
      </c>
      <c r="B3503" s="6"/>
      <c r="C3503" s="2336">
        <v>103</v>
      </c>
      <c r="D3503" s="2336">
        <v>29976528.038380198</v>
      </c>
      <c r="E3503" s="2337">
        <v>13987135.174992399</v>
      </c>
      <c r="F3503" s="2338">
        <v>0.54865743140012802</v>
      </c>
      <c r="G3503" s="2339">
        <v>0.253628816453006</v>
      </c>
    </row>
    <row r="3504" spans="1:7" x14ac:dyDescent="0.25">
      <c r="A3504" s="11" t="s">
        <v>3089</v>
      </c>
      <c r="B3504" s="11"/>
      <c r="C3504" s="2340">
        <v>107</v>
      </c>
      <c r="D3504" s="2340">
        <v>29925275.610365499</v>
      </c>
      <c r="E3504" s="2341">
        <v>12153405.678457599</v>
      </c>
      <c r="F3504" s="2342">
        <v>0.54771936327324</v>
      </c>
      <c r="G3504" s="2343">
        <v>0.221883580001113</v>
      </c>
    </row>
    <row r="3505" spans="1:7" x14ac:dyDescent="0.25">
      <c r="A3505" s="6" t="s">
        <v>1071</v>
      </c>
      <c r="B3505" s="6"/>
      <c r="C3505" s="2336">
        <v>97</v>
      </c>
      <c r="D3505" s="2336">
        <v>29725145.950412601</v>
      </c>
      <c r="E3505" s="2337">
        <v>6869111.3100272799</v>
      </c>
      <c r="F3505" s="2338">
        <v>0.54405640987729798</v>
      </c>
      <c r="G3505" s="2339">
        <v>0.123140614234253</v>
      </c>
    </row>
    <row r="3506" spans="1:7" x14ac:dyDescent="0.25">
      <c r="A3506" s="11" t="s">
        <v>3201</v>
      </c>
      <c r="B3506" s="11"/>
      <c r="C3506" s="2340">
        <v>66</v>
      </c>
      <c r="D3506" s="2340">
        <v>29520075.932352901</v>
      </c>
      <c r="E3506" s="2341">
        <v>9894774.7629470807</v>
      </c>
      <c r="F3506" s="2342">
        <v>0.54030303359496901</v>
      </c>
      <c r="G3506" s="2343">
        <v>0.18096749880575899</v>
      </c>
    </row>
    <row r="3507" spans="1:7" x14ac:dyDescent="0.25">
      <c r="A3507" s="6" t="s">
        <v>1087</v>
      </c>
      <c r="B3507" s="6"/>
      <c r="C3507" s="2336">
        <v>103</v>
      </c>
      <c r="D3507" s="2336">
        <v>27815335.179417301</v>
      </c>
      <c r="E3507" s="2337">
        <v>8299579.8628324196</v>
      </c>
      <c r="F3507" s="2338">
        <v>0.50910133199993401</v>
      </c>
      <c r="G3507" s="2339">
        <v>0.14980974318367099</v>
      </c>
    </row>
    <row r="3508" spans="1:7" x14ac:dyDescent="0.25">
      <c r="A3508" s="11" t="s">
        <v>1033</v>
      </c>
      <c r="B3508" s="11"/>
      <c r="C3508" s="2340">
        <v>95</v>
      </c>
      <c r="D3508" s="2340">
        <v>26287753.332009599</v>
      </c>
      <c r="E3508" s="2341">
        <v>6428532.6388689103</v>
      </c>
      <c r="F3508" s="2342">
        <v>0.48114215235180702</v>
      </c>
      <c r="G3508" s="2343">
        <v>0.113921609646528</v>
      </c>
    </row>
    <row r="3509" spans="1:7" x14ac:dyDescent="0.25">
      <c r="A3509" s="6" t="s">
        <v>3087</v>
      </c>
      <c r="B3509" s="6"/>
      <c r="C3509" s="2336">
        <v>83</v>
      </c>
      <c r="D3509" s="2336">
        <v>25551169.229580499</v>
      </c>
      <c r="E3509" s="2337">
        <v>6014052.3338264003</v>
      </c>
      <c r="F3509" s="2338">
        <v>0.46766052628985799</v>
      </c>
      <c r="G3509" s="2339">
        <v>0.10921396624832699</v>
      </c>
    </row>
    <row r="3510" spans="1:7" x14ac:dyDescent="0.25">
      <c r="A3510" s="11" t="s">
        <v>3071</v>
      </c>
      <c r="B3510" s="11"/>
      <c r="C3510" s="2340">
        <v>74</v>
      </c>
      <c r="D3510" s="2340">
        <v>24683383.397833601</v>
      </c>
      <c r="E3510" s="2341">
        <v>10496413.354726</v>
      </c>
      <c r="F3510" s="2342">
        <v>0.45177752793721299</v>
      </c>
      <c r="G3510" s="2343">
        <v>0.19089077635223001</v>
      </c>
    </row>
    <row r="3511" spans="1:7" x14ac:dyDescent="0.25">
      <c r="A3511" s="6" t="s">
        <v>1019</v>
      </c>
      <c r="B3511" s="6"/>
      <c r="C3511" s="2336">
        <v>60</v>
      </c>
      <c r="D3511" s="2336">
        <v>23361016.003456499</v>
      </c>
      <c r="E3511" s="2337">
        <v>7977662.6837503901</v>
      </c>
      <c r="F3511" s="2338">
        <v>0.42757436815041899</v>
      </c>
      <c r="G3511" s="2339">
        <v>0.14822166990368299</v>
      </c>
    </row>
    <row r="3512" spans="1:7" x14ac:dyDescent="0.25">
      <c r="A3512" s="11" t="s">
        <v>988</v>
      </c>
      <c r="B3512" s="11"/>
      <c r="C3512" s="2340">
        <v>87</v>
      </c>
      <c r="D3512" s="2340">
        <v>23122246.606485602</v>
      </c>
      <c r="E3512" s="2341">
        <v>5559906.4682662301</v>
      </c>
      <c r="F3512" s="2342">
        <v>0.42320419546493299</v>
      </c>
      <c r="G3512" s="2343">
        <v>0.100243316485381</v>
      </c>
    </row>
    <row r="3513" spans="1:7" x14ac:dyDescent="0.25">
      <c r="A3513" s="6" t="s">
        <v>1081</v>
      </c>
      <c r="B3513" s="6"/>
      <c r="C3513" s="2336">
        <v>86</v>
      </c>
      <c r="D3513" s="2336">
        <v>23016981.5283763</v>
      </c>
      <c r="E3513" s="2337">
        <v>5981866.0836668601</v>
      </c>
      <c r="F3513" s="2338">
        <v>0.42127753913910199</v>
      </c>
      <c r="G3513" s="2339">
        <v>0.10802751810839401</v>
      </c>
    </row>
    <row r="3514" spans="1:7" x14ac:dyDescent="0.25">
      <c r="A3514" s="11" t="s">
        <v>1003</v>
      </c>
      <c r="B3514" s="11"/>
      <c r="C3514" s="2340">
        <v>84</v>
      </c>
      <c r="D3514" s="2340">
        <v>22751438.650175601</v>
      </c>
      <c r="E3514" s="2341">
        <v>5962849.3818157502</v>
      </c>
      <c r="F3514" s="2342">
        <v>0.41641733407153603</v>
      </c>
      <c r="G3514" s="2343">
        <v>0.109948911982252</v>
      </c>
    </row>
    <row r="3515" spans="1:7" x14ac:dyDescent="0.25">
      <c r="A3515" s="6" t="s">
        <v>1069</v>
      </c>
      <c r="B3515" s="6"/>
      <c r="C3515" s="2336">
        <v>67</v>
      </c>
      <c r="D3515" s="2336">
        <v>22737353.096755799</v>
      </c>
      <c r="E3515" s="2337">
        <v>8347093.3364772303</v>
      </c>
      <c r="F3515" s="2338">
        <v>0.41615952757876001</v>
      </c>
      <c r="G3515" s="2339">
        <v>0.153628652109536</v>
      </c>
    </row>
    <row r="3516" spans="1:7" x14ac:dyDescent="0.25">
      <c r="A3516" s="11" t="s">
        <v>1095</v>
      </c>
      <c r="B3516" s="11"/>
      <c r="C3516" s="2340">
        <v>113</v>
      </c>
      <c r="D3516" s="2340">
        <v>22190700.655740902</v>
      </c>
      <c r="E3516" s="2341">
        <v>7645345.4937900696</v>
      </c>
      <c r="F3516" s="2342">
        <v>0.40615420195293001</v>
      </c>
      <c r="G3516" s="2343">
        <v>0.140203966931741</v>
      </c>
    </row>
    <row r="3517" spans="1:7" x14ac:dyDescent="0.25">
      <c r="A3517" s="6" t="s">
        <v>1083</v>
      </c>
      <c r="B3517" s="6"/>
      <c r="C3517" s="2336">
        <v>53</v>
      </c>
      <c r="D3517" s="2336">
        <v>22021066.958931301</v>
      </c>
      <c r="E3517" s="2337">
        <v>7335710.9907895504</v>
      </c>
      <c r="F3517" s="2338">
        <v>0.40304941315779902</v>
      </c>
      <c r="G3517" s="2339">
        <v>0.13420362478758099</v>
      </c>
    </row>
    <row r="3518" spans="1:7" x14ac:dyDescent="0.25">
      <c r="A3518" s="11" t="s">
        <v>3058</v>
      </c>
      <c r="B3518" s="11"/>
      <c r="C3518" s="2340">
        <v>60</v>
      </c>
      <c r="D3518" s="2340">
        <v>21786750.445131201</v>
      </c>
      <c r="E3518" s="2341">
        <v>6189052.6742247902</v>
      </c>
      <c r="F3518" s="2342">
        <v>0.39876074115310201</v>
      </c>
      <c r="G3518" s="2343">
        <v>0.11236181668116001</v>
      </c>
    </row>
    <row r="3519" spans="1:7" x14ac:dyDescent="0.25">
      <c r="A3519" s="6" t="s">
        <v>1097</v>
      </c>
      <c r="B3519" s="6"/>
      <c r="C3519" s="2336">
        <v>67</v>
      </c>
      <c r="D3519" s="2336">
        <v>20809811.668031901</v>
      </c>
      <c r="E3519" s="2337">
        <v>7418356.1595446803</v>
      </c>
      <c r="F3519" s="2338">
        <v>0.380879927224545</v>
      </c>
      <c r="G3519" s="2339">
        <v>0.134159597347978</v>
      </c>
    </row>
    <row r="3520" spans="1:7" x14ac:dyDescent="0.25">
      <c r="A3520" s="11" t="s">
        <v>990</v>
      </c>
      <c r="B3520" s="11"/>
      <c r="C3520" s="2340">
        <v>68</v>
      </c>
      <c r="D3520" s="2340">
        <v>20588308.507307801</v>
      </c>
      <c r="E3520" s="2341">
        <v>7731801.7907893201</v>
      </c>
      <c r="F3520" s="2342">
        <v>0.37682577675540802</v>
      </c>
      <c r="G3520" s="2343">
        <v>0.139849509790202</v>
      </c>
    </row>
    <row r="3521" spans="1:7" x14ac:dyDescent="0.25">
      <c r="A3521" s="6" t="s">
        <v>3073</v>
      </c>
      <c r="B3521" s="6"/>
      <c r="C3521" s="2336">
        <v>80</v>
      </c>
      <c r="D3521" s="2336">
        <v>20300302.7017009</v>
      </c>
      <c r="E3521" s="2337">
        <v>5672731.0014631497</v>
      </c>
      <c r="F3521" s="2338">
        <v>0.37155443494656698</v>
      </c>
      <c r="G3521" s="2339">
        <v>0.10217971916971</v>
      </c>
    </row>
    <row r="3522" spans="1:7" x14ac:dyDescent="0.25">
      <c r="A3522" s="11" t="s">
        <v>1025</v>
      </c>
      <c r="B3522" s="11"/>
      <c r="C3522" s="2340">
        <v>59</v>
      </c>
      <c r="D3522" s="2340">
        <v>19754825.242117699</v>
      </c>
      <c r="E3522" s="2341">
        <v>10838228.603953</v>
      </c>
      <c r="F3522" s="2342">
        <v>0.36157061488980702</v>
      </c>
      <c r="G3522" s="2343">
        <v>0.19877674057220099</v>
      </c>
    </row>
    <row r="3523" spans="1:7" x14ac:dyDescent="0.25">
      <c r="A3523" s="6" t="s">
        <v>3199</v>
      </c>
      <c r="B3523" s="6"/>
      <c r="C3523" s="2336">
        <v>86</v>
      </c>
      <c r="D3523" s="2336">
        <v>19709453.642239101</v>
      </c>
      <c r="E3523" s="2337">
        <v>5845026.7447378896</v>
      </c>
      <c r="F3523" s="2338">
        <v>0.36074018297934701</v>
      </c>
      <c r="G3523" s="2339">
        <v>0.10694577647428501</v>
      </c>
    </row>
    <row r="3524" spans="1:7" x14ac:dyDescent="0.25">
      <c r="A3524" s="11" t="s">
        <v>3062</v>
      </c>
      <c r="B3524" s="11"/>
      <c r="C3524" s="2340">
        <v>48</v>
      </c>
      <c r="D3524" s="2340">
        <v>18348733.736485898</v>
      </c>
      <c r="E3524" s="2341">
        <v>7169451.7433044296</v>
      </c>
      <c r="F3524" s="2342">
        <v>0.33583506096555998</v>
      </c>
      <c r="G3524" s="2343">
        <v>0.131291536176529</v>
      </c>
    </row>
    <row r="3525" spans="1:7" x14ac:dyDescent="0.25">
      <c r="A3525" s="6" t="s">
        <v>3099</v>
      </c>
      <c r="B3525" s="6"/>
      <c r="C3525" s="2336">
        <v>58</v>
      </c>
      <c r="D3525" s="2336">
        <v>17895935.721406501</v>
      </c>
      <c r="E3525" s="2337">
        <v>7568037.6333055599</v>
      </c>
      <c r="F3525" s="2338">
        <v>0.32754754362604399</v>
      </c>
      <c r="G3525" s="2339">
        <v>0.13932939799010999</v>
      </c>
    </row>
    <row r="3526" spans="1:7" x14ac:dyDescent="0.25">
      <c r="A3526" s="11" t="s">
        <v>3060</v>
      </c>
      <c r="B3526" s="11"/>
      <c r="C3526" s="2340">
        <v>74</v>
      </c>
      <c r="D3526" s="2340">
        <v>17714650.654325899</v>
      </c>
      <c r="E3526" s="2341">
        <v>5734411.4799683103</v>
      </c>
      <c r="F3526" s="2342">
        <v>0.32422950095184699</v>
      </c>
      <c r="G3526" s="2343">
        <v>0.10277827749318499</v>
      </c>
    </row>
    <row r="3527" spans="1:7" x14ac:dyDescent="0.25">
      <c r="A3527" s="6" t="s">
        <v>1077</v>
      </c>
      <c r="B3527" s="6"/>
      <c r="C3527" s="2336">
        <v>94</v>
      </c>
      <c r="D3527" s="2336">
        <v>17141434.482101601</v>
      </c>
      <c r="E3527" s="2337">
        <v>5370849.2819808396</v>
      </c>
      <c r="F3527" s="2338">
        <v>0.31373798197783598</v>
      </c>
      <c r="G3527" s="2339">
        <v>9.63235358255837E-2</v>
      </c>
    </row>
    <row r="3528" spans="1:7" x14ac:dyDescent="0.25">
      <c r="A3528" s="11" t="s">
        <v>1023</v>
      </c>
      <c r="B3528" s="11"/>
      <c r="C3528" s="2340">
        <v>74</v>
      </c>
      <c r="D3528" s="2340">
        <v>16808475.868327901</v>
      </c>
      <c r="E3528" s="2341">
        <v>5223915.5375486398</v>
      </c>
      <c r="F3528" s="2342">
        <v>0.307643873361864</v>
      </c>
      <c r="G3528" s="2343">
        <v>9.5573574046303594E-2</v>
      </c>
    </row>
    <row r="3529" spans="1:7" x14ac:dyDescent="0.25">
      <c r="A3529" s="6" t="s">
        <v>3091</v>
      </c>
      <c r="B3529" s="6"/>
      <c r="C3529" s="2336">
        <v>44</v>
      </c>
      <c r="D3529" s="2336">
        <v>15876908.480782799</v>
      </c>
      <c r="E3529" s="2337">
        <v>7128182.2277933201</v>
      </c>
      <c r="F3529" s="2338">
        <v>0.29059348749422098</v>
      </c>
      <c r="G3529" s="2339">
        <v>0.12898904222313501</v>
      </c>
    </row>
    <row r="3530" spans="1:7" x14ac:dyDescent="0.25">
      <c r="A3530" s="11" t="s">
        <v>1089</v>
      </c>
      <c r="B3530" s="11"/>
      <c r="C3530" s="2340">
        <v>70</v>
      </c>
      <c r="D3530" s="2340">
        <v>15126726.952754401</v>
      </c>
      <c r="E3530" s="2341">
        <v>8850664.2814376391</v>
      </c>
      <c r="F3530" s="2342">
        <v>0.27686298909477602</v>
      </c>
      <c r="G3530" s="2343">
        <v>0.16162722706220001</v>
      </c>
    </row>
    <row r="3531" spans="1:7" x14ac:dyDescent="0.25">
      <c r="A3531" s="6" t="s">
        <v>1093</v>
      </c>
      <c r="B3531" s="6"/>
      <c r="C3531" s="2336">
        <v>52</v>
      </c>
      <c r="D3531" s="2336">
        <v>14477530.4086479</v>
      </c>
      <c r="E3531" s="2337">
        <v>7044584.2535627102</v>
      </c>
      <c r="F3531" s="2338">
        <v>0.26498080888006698</v>
      </c>
      <c r="G3531" s="2339">
        <v>0.12878033909044001</v>
      </c>
    </row>
    <row r="3532" spans="1:7" x14ac:dyDescent="0.25">
      <c r="A3532" s="11" t="s">
        <v>1035</v>
      </c>
      <c r="B3532" s="11"/>
      <c r="C3532" s="2340">
        <v>43</v>
      </c>
      <c r="D3532" s="2340">
        <v>13550354.8290188</v>
      </c>
      <c r="E3532" s="2341">
        <v>3362317.1848255401</v>
      </c>
      <c r="F3532" s="2342">
        <v>0.24801080583885801</v>
      </c>
      <c r="G3532" s="2343">
        <v>6.18037419235841E-2</v>
      </c>
    </row>
    <row r="3533" spans="1:7" x14ac:dyDescent="0.25">
      <c r="A3533" s="6" t="s">
        <v>3056</v>
      </c>
      <c r="B3533" s="6"/>
      <c r="C3533" s="2336">
        <v>62</v>
      </c>
      <c r="D3533" s="2336">
        <v>12968991.1613151</v>
      </c>
      <c r="E3533" s="2337">
        <v>4862464.8704152703</v>
      </c>
      <c r="F3533" s="2338">
        <v>0.23737016405995301</v>
      </c>
      <c r="G3533" s="2339">
        <v>8.80096863968617E-2</v>
      </c>
    </row>
    <row r="3534" spans="1:7" x14ac:dyDescent="0.25">
      <c r="A3534" s="11" t="s">
        <v>1099</v>
      </c>
      <c r="B3534" s="11"/>
      <c r="C3534" s="2340">
        <v>45</v>
      </c>
      <c r="D3534" s="2340">
        <v>11861961.6959939</v>
      </c>
      <c r="E3534" s="2341">
        <v>4860503.9494969603</v>
      </c>
      <c r="F3534" s="2342">
        <v>0.217108313116117</v>
      </c>
      <c r="G3534" s="2343">
        <v>8.8611703231039896E-2</v>
      </c>
    </row>
    <row r="3535" spans="1:7" x14ac:dyDescent="0.25">
      <c r="A3535" s="6" t="s">
        <v>1031</v>
      </c>
      <c r="B3535" s="6"/>
      <c r="C3535" s="2336">
        <v>65</v>
      </c>
      <c r="D3535" s="2336">
        <v>11708195.351924799</v>
      </c>
      <c r="E3535" s="2337">
        <v>3959509.6615352798</v>
      </c>
      <c r="F3535" s="2338">
        <v>0.21429394291070999</v>
      </c>
      <c r="G3535" s="2339">
        <v>7.2357731023139096E-2</v>
      </c>
    </row>
    <row r="3536" spans="1:7" x14ac:dyDescent="0.25">
      <c r="A3536" s="11" t="s">
        <v>1073</v>
      </c>
      <c r="B3536" s="11"/>
      <c r="C3536" s="2340">
        <v>66</v>
      </c>
      <c r="D3536" s="2340">
        <v>11623300.269806201</v>
      </c>
      <c r="E3536" s="2341">
        <v>5113696.1862359298</v>
      </c>
      <c r="F3536" s="2342">
        <v>0.21274011660920999</v>
      </c>
      <c r="G3536" s="2343">
        <v>9.3757215853178505E-2</v>
      </c>
    </row>
    <row r="3537" spans="1:7" x14ac:dyDescent="0.25">
      <c r="A3537" s="6" t="s">
        <v>1075</v>
      </c>
      <c r="B3537" s="6"/>
      <c r="C3537" s="2336">
        <v>55</v>
      </c>
      <c r="D3537" s="2336">
        <v>10432380.5988991</v>
      </c>
      <c r="E3537" s="2337">
        <v>3468099.2419850002</v>
      </c>
      <c r="F3537" s="2338">
        <v>0.190942831519783</v>
      </c>
      <c r="G3537" s="2339">
        <v>6.3433370070550305E-2</v>
      </c>
    </row>
    <row r="3538" spans="1:7" x14ac:dyDescent="0.25">
      <c r="A3538" s="11" t="s">
        <v>3077</v>
      </c>
      <c r="B3538" s="11"/>
      <c r="C3538" s="2340">
        <v>45</v>
      </c>
      <c r="D3538" s="2340">
        <v>10120013.799924601</v>
      </c>
      <c r="E3538" s="2341">
        <v>5177334.1375734396</v>
      </c>
      <c r="F3538" s="2342">
        <v>0.18522561285588099</v>
      </c>
      <c r="G3538" s="2343">
        <v>9.5089780353605297E-2</v>
      </c>
    </row>
    <row r="3539" spans="1:7" x14ac:dyDescent="0.25">
      <c r="A3539" s="6" t="s">
        <v>1013</v>
      </c>
      <c r="B3539" s="6"/>
      <c r="C3539" s="2336">
        <v>71</v>
      </c>
      <c r="D3539" s="2336">
        <v>9281392.8598859906</v>
      </c>
      <c r="E3539" s="2337">
        <v>2081809.85176796</v>
      </c>
      <c r="F3539" s="2338">
        <v>0.169876416635063</v>
      </c>
      <c r="G3539" s="2339">
        <v>3.8110707957286903E-2</v>
      </c>
    </row>
    <row r="3540" spans="1:7" x14ac:dyDescent="0.25">
      <c r="A3540" s="11" t="s">
        <v>3197</v>
      </c>
      <c r="B3540" s="11"/>
      <c r="C3540" s="2340">
        <v>50</v>
      </c>
      <c r="D3540" s="2340">
        <v>9161305.3139204495</v>
      </c>
      <c r="E3540" s="2341">
        <v>3593594.87774901</v>
      </c>
      <c r="F3540" s="2342">
        <v>0.167678466144324</v>
      </c>
      <c r="G3540" s="2343">
        <v>6.5157554647208002E-2</v>
      </c>
    </row>
    <row r="3541" spans="1:7" x14ac:dyDescent="0.25">
      <c r="A3541" s="6" t="s">
        <v>1015</v>
      </c>
      <c r="B3541" s="6"/>
      <c r="C3541" s="2336">
        <v>49</v>
      </c>
      <c r="D3541" s="2336">
        <v>8681487.7418223992</v>
      </c>
      <c r="E3541" s="2337">
        <v>2916309.1594545799</v>
      </c>
      <c r="F3541" s="2338">
        <v>0.158896412521873</v>
      </c>
      <c r="G3541" s="2339">
        <v>5.3202708485750101E-2</v>
      </c>
    </row>
    <row r="3542" spans="1:7" x14ac:dyDescent="0.25">
      <c r="A3542" s="11" t="s">
        <v>1091</v>
      </c>
      <c r="B3542" s="11"/>
      <c r="C3542" s="2340">
        <v>42</v>
      </c>
      <c r="D3542" s="2340">
        <v>8259658.14820481</v>
      </c>
      <c r="E3542" s="2341">
        <v>4529121.2551645096</v>
      </c>
      <c r="F3542" s="2342">
        <v>0.15117570714110201</v>
      </c>
      <c r="G3542" s="2343">
        <v>8.2192193711372097E-2</v>
      </c>
    </row>
    <row r="3543" spans="1:7" x14ac:dyDescent="0.25">
      <c r="A3543" s="6" t="s">
        <v>1085</v>
      </c>
      <c r="B3543" s="6"/>
      <c r="C3543" s="2336">
        <v>49</v>
      </c>
      <c r="D3543" s="2336">
        <v>3305912.1740312302</v>
      </c>
      <c r="E3543" s="2337">
        <v>886333.08744637202</v>
      </c>
      <c r="F3543" s="2338">
        <v>6.0507783940691298E-2</v>
      </c>
      <c r="G3543" s="2339">
        <v>1.64988814742301E-2</v>
      </c>
    </row>
    <row r="3544" spans="1:7" x14ac:dyDescent="0.25">
      <c r="A3544" s="11" t="s">
        <v>6293</v>
      </c>
      <c r="B3544" s="11" t="s">
        <v>6294</v>
      </c>
      <c r="C3544" s="2340">
        <v>19779</v>
      </c>
      <c r="D3544" s="2340">
        <v>5463614693.3948698</v>
      </c>
      <c r="E3544" s="2341">
        <v>72575038.820911393</v>
      </c>
      <c r="F3544" s="2342">
        <v>100</v>
      </c>
      <c r="G3544" s="2343">
        <v>2.5177491625509499E-14</v>
      </c>
    </row>
    <row r="3545" spans="1:7" x14ac:dyDescent="0.25">
      <c r="A3545" s="6" t="s">
        <v>6293</v>
      </c>
      <c r="B3545" s="6" t="s">
        <v>6295</v>
      </c>
      <c r="C3545" s="2336">
        <v>19779</v>
      </c>
      <c r="D3545" s="2336">
        <v>5463614693.3948698</v>
      </c>
      <c r="E3545" s="2337">
        <v>0</v>
      </c>
      <c r="F3545" s="2338">
        <v>100</v>
      </c>
      <c r="G3545" s="2339">
        <v>0</v>
      </c>
    </row>
    <row r="3546" spans="1:7" x14ac:dyDescent="0.25">
      <c r="A3546" s="3353" t="s">
        <v>628</v>
      </c>
      <c r="B3546" s="3354"/>
      <c r="C3546" s="3354"/>
      <c r="D3546" s="3354"/>
      <c r="E3546" s="3354"/>
      <c r="F3546" s="3354"/>
      <c r="G3546" s="3354"/>
    </row>
    <row r="3547" spans="1:7" x14ac:dyDescent="0.25">
      <c r="A3547" s="11" t="s">
        <v>6475</v>
      </c>
      <c r="B3547" s="11"/>
      <c r="C3547" s="2348">
        <v>11570</v>
      </c>
      <c r="D3547" s="2348">
        <v>3336250055.3920598</v>
      </c>
      <c r="E3547" s="2349">
        <v>58634226.552097701</v>
      </c>
      <c r="F3547" s="2350">
        <v>61.063055186255397</v>
      </c>
      <c r="G3547" s="2351">
        <v>0.78797749043969101</v>
      </c>
    </row>
    <row r="3548" spans="1:7" x14ac:dyDescent="0.25">
      <c r="A3548" s="6" t="s">
        <v>6474</v>
      </c>
      <c r="B3548" s="6"/>
      <c r="C3548" s="2344">
        <v>8209</v>
      </c>
      <c r="D3548" s="2344">
        <v>2127364638.0028</v>
      </c>
      <c r="E3548" s="2345">
        <v>53913213.645092197</v>
      </c>
      <c r="F3548" s="2346">
        <v>38.936944813744603</v>
      </c>
      <c r="G3548" s="2347">
        <v>0.78797749043968701</v>
      </c>
    </row>
    <row r="3549" spans="1:7" x14ac:dyDescent="0.25">
      <c r="A3549" s="11" t="s">
        <v>6293</v>
      </c>
      <c r="B3549" s="11" t="s">
        <v>6294</v>
      </c>
      <c r="C3549" s="2348">
        <v>19779</v>
      </c>
      <c r="D3549" s="2348">
        <v>5463614693.3948603</v>
      </c>
      <c r="E3549" s="2349">
        <v>72575038.820911393</v>
      </c>
      <c r="F3549" s="2350">
        <v>100</v>
      </c>
      <c r="G3549" s="2351">
        <v>1.78031750616652E-14</v>
      </c>
    </row>
    <row r="3550" spans="1:7" x14ac:dyDescent="0.25">
      <c r="A3550" s="6" t="s">
        <v>6293</v>
      </c>
      <c r="B3550" s="6" t="s">
        <v>6295</v>
      </c>
      <c r="C3550" s="2344">
        <v>19779</v>
      </c>
      <c r="D3550" s="2344">
        <v>5463614693.3948603</v>
      </c>
      <c r="E3550" s="2345">
        <v>0</v>
      </c>
      <c r="F3550" s="2346">
        <v>100</v>
      </c>
      <c r="G3550" s="2347">
        <v>0</v>
      </c>
    </row>
    <row r="3551" spans="1:7" x14ac:dyDescent="0.25">
      <c r="A3551" s="3353" t="s">
        <v>172</v>
      </c>
      <c r="B3551" s="3354"/>
      <c r="C3551" s="3354"/>
      <c r="D3551" s="3354"/>
      <c r="E3551" s="3354"/>
      <c r="F3551" s="3354"/>
      <c r="G3551" s="3354"/>
    </row>
    <row r="3552" spans="1:7" x14ac:dyDescent="0.25">
      <c r="A3552" s="11" t="s">
        <v>1003</v>
      </c>
      <c r="B3552" s="11"/>
      <c r="C3552" s="2356">
        <v>1911</v>
      </c>
      <c r="D3552" s="2356">
        <v>714184895.14642298</v>
      </c>
      <c r="E3552" s="2357">
        <v>37105535.004358202</v>
      </c>
      <c r="F3552" s="2358">
        <v>13.071655583799201</v>
      </c>
      <c r="G3552" s="2359">
        <v>0.62640996832844098</v>
      </c>
    </row>
    <row r="3553" spans="1:7" x14ac:dyDescent="0.25">
      <c r="A3553" s="6" t="s">
        <v>1013</v>
      </c>
      <c r="B3553" s="6"/>
      <c r="C3553" s="2352">
        <v>1777</v>
      </c>
      <c r="D3553" s="2352">
        <v>597208505.59320402</v>
      </c>
      <c r="E3553" s="2353">
        <v>27699191.5593923</v>
      </c>
      <c r="F3553" s="2354">
        <v>10.930648281533999</v>
      </c>
      <c r="G3553" s="2355">
        <v>0.48762054024222301</v>
      </c>
    </row>
    <row r="3554" spans="1:7" x14ac:dyDescent="0.25">
      <c r="A3554" s="11" t="s">
        <v>994</v>
      </c>
      <c r="B3554" s="11"/>
      <c r="C3554" s="2356">
        <v>1609</v>
      </c>
      <c r="D3554" s="2356">
        <v>563859368.98012197</v>
      </c>
      <c r="E3554" s="2357">
        <v>41718861.785395302</v>
      </c>
      <c r="F3554" s="2358">
        <v>10.3202623285604</v>
      </c>
      <c r="G3554" s="2359">
        <v>0.76923104324175096</v>
      </c>
    </row>
    <row r="3555" spans="1:7" x14ac:dyDescent="0.25">
      <c r="A3555" s="6" t="s">
        <v>992</v>
      </c>
      <c r="B3555" s="6"/>
      <c r="C3555" s="2352">
        <v>1590</v>
      </c>
      <c r="D3555" s="2352">
        <v>520378998.35719198</v>
      </c>
      <c r="E3555" s="2353">
        <v>31667915.792480499</v>
      </c>
      <c r="F3555" s="2354">
        <v>9.5244454003371501</v>
      </c>
      <c r="G3555" s="2355">
        <v>0.52188493965555305</v>
      </c>
    </row>
    <row r="3556" spans="1:7" x14ac:dyDescent="0.25">
      <c r="A3556" s="11" t="s">
        <v>988</v>
      </c>
      <c r="B3556" s="11"/>
      <c r="C3556" s="2356">
        <v>1553</v>
      </c>
      <c r="D3556" s="2356">
        <v>483793708.84333402</v>
      </c>
      <c r="E3556" s="2357">
        <v>28943650.498762999</v>
      </c>
      <c r="F3556" s="2358">
        <v>8.8548284605099798</v>
      </c>
      <c r="G3556" s="2359">
        <v>0.47149030661168301</v>
      </c>
    </row>
    <row r="3557" spans="1:7" x14ac:dyDescent="0.25">
      <c r="A3557" s="6" t="s">
        <v>990</v>
      </c>
      <c r="B3557" s="6"/>
      <c r="C3557" s="2352">
        <v>1541</v>
      </c>
      <c r="D3557" s="2352">
        <v>442102892.55355901</v>
      </c>
      <c r="E3557" s="2353">
        <v>30111676.227062698</v>
      </c>
      <c r="F3557" s="2354">
        <v>8.0917655684620406</v>
      </c>
      <c r="G3557" s="2355">
        <v>0.54555384048908895</v>
      </c>
    </row>
    <row r="3558" spans="1:7" x14ac:dyDescent="0.25">
      <c r="A3558" s="11" t="s">
        <v>1015</v>
      </c>
      <c r="B3558" s="11"/>
      <c r="C3558" s="2356">
        <v>1654</v>
      </c>
      <c r="D3558" s="2356">
        <v>431743815.91203803</v>
      </c>
      <c r="E3558" s="2357">
        <v>30728510.4293001</v>
      </c>
      <c r="F3558" s="2358">
        <v>7.9021644120326799</v>
      </c>
      <c r="G3558" s="2359">
        <v>0.56773396197472303</v>
      </c>
    </row>
    <row r="3559" spans="1:7" x14ac:dyDescent="0.25">
      <c r="A3559" s="6" t="s">
        <v>986</v>
      </c>
      <c r="B3559" s="6"/>
      <c r="C3559" s="2352">
        <v>1476</v>
      </c>
      <c r="D3559" s="2352">
        <v>388776027.35857499</v>
      </c>
      <c r="E3559" s="2353">
        <v>27391559.537686799</v>
      </c>
      <c r="F3559" s="2354">
        <v>7.1157292227905096</v>
      </c>
      <c r="G3559" s="2355">
        <v>0.49046108980782399</v>
      </c>
    </row>
    <row r="3560" spans="1:7" x14ac:dyDescent="0.25">
      <c r="A3560" s="11" t="s">
        <v>1021</v>
      </c>
      <c r="B3560" s="11"/>
      <c r="C3560" s="2356">
        <v>1705</v>
      </c>
      <c r="D3560" s="2356">
        <v>355734619.06284797</v>
      </c>
      <c r="E3560" s="2357">
        <v>22439137.631993499</v>
      </c>
      <c r="F3560" s="2358">
        <v>6.5109755908100002</v>
      </c>
      <c r="G3560" s="2359">
        <v>0.44134331223733497</v>
      </c>
    </row>
    <row r="3561" spans="1:7" x14ac:dyDescent="0.25">
      <c r="A3561" s="6" t="s">
        <v>1019</v>
      </c>
      <c r="B3561" s="6"/>
      <c r="C3561" s="2352">
        <v>1733</v>
      </c>
      <c r="D3561" s="2352">
        <v>343073628.81415403</v>
      </c>
      <c r="E3561" s="2353">
        <v>19605463.9712025</v>
      </c>
      <c r="F3561" s="2354">
        <v>6.2792427370273103</v>
      </c>
      <c r="G3561" s="2355">
        <v>0.348266716786161</v>
      </c>
    </row>
    <row r="3562" spans="1:7" x14ac:dyDescent="0.25">
      <c r="A3562" s="11" t="s">
        <v>984</v>
      </c>
      <c r="B3562" s="11"/>
      <c r="C3562" s="2356">
        <v>1513</v>
      </c>
      <c r="D3562" s="2356">
        <v>313960216.27004898</v>
      </c>
      <c r="E3562" s="2357">
        <v>21489991.7056389</v>
      </c>
      <c r="F3562" s="2358">
        <v>5.7463828232544403</v>
      </c>
      <c r="G3562" s="2359">
        <v>0.393322416167939</v>
      </c>
    </row>
    <row r="3563" spans="1:7" x14ac:dyDescent="0.25">
      <c r="A3563" s="6" t="s">
        <v>1017</v>
      </c>
      <c r="B3563" s="6"/>
      <c r="C3563" s="2352">
        <v>1717</v>
      </c>
      <c r="D3563" s="2352">
        <v>308798016.50337201</v>
      </c>
      <c r="E3563" s="2353">
        <v>25008479.417349301</v>
      </c>
      <c r="F3563" s="2354">
        <v>5.6518995908823504</v>
      </c>
      <c r="G3563" s="2355">
        <v>0.454693109129022</v>
      </c>
    </row>
    <row r="3564" spans="1:7" x14ac:dyDescent="0.25">
      <c r="A3564" s="11" t="s">
        <v>6293</v>
      </c>
      <c r="B3564" s="11" t="s">
        <v>6294</v>
      </c>
      <c r="C3564" s="2356">
        <v>19779</v>
      </c>
      <c r="D3564" s="2356">
        <v>5463614693.3948698</v>
      </c>
      <c r="E3564" s="2357">
        <v>72575038.820911497</v>
      </c>
      <c r="F3564" s="2358">
        <v>100</v>
      </c>
      <c r="G3564" s="2359">
        <v>9.5320444878948101E-14</v>
      </c>
    </row>
    <row r="3565" spans="1:7" x14ac:dyDescent="0.25">
      <c r="A3565" s="6" t="s">
        <v>6293</v>
      </c>
      <c r="B3565" s="6" t="s">
        <v>6295</v>
      </c>
      <c r="C3565" s="2352">
        <v>19779</v>
      </c>
      <c r="D3565" s="2352">
        <v>5463614693.3948698</v>
      </c>
      <c r="E3565" s="2353">
        <v>0</v>
      </c>
      <c r="F3565" s="2354">
        <v>100</v>
      </c>
      <c r="G3565" s="2355">
        <v>0</v>
      </c>
    </row>
    <row r="3566" spans="1:7" x14ac:dyDescent="0.25">
      <c r="A3566" s="3353" t="s">
        <v>174</v>
      </c>
      <c r="B3566" s="3354"/>
      <c r="C3566" s="3354"/>
      <c r="D3566" s="3354"/>
      <c r="E3566" s="3354"/>
      <c r="F3566" s="3354"/>
      <c r="G3566" s="3354"/>
    </row>
    <row r="3567" spans="1:7" x14ac:dyDescent="0.25">
      <c r="A3567" s="11" t="s">
        <v>1174</v>
      </c>
      <c r="B3567" s="11"/>
      <c r="C3567" s="2364">
        <v>2180</v>
      </c>
      <c r="D3567" s="2364">
        <v>585285054.13013399</v>
      </c>
      <c r="E3567" s="2365">
        <v>49437527.810295798</v>
      </c>
      <c r="F3567" s="2366">
        <v>10.7124145272854</v>
      </c>
      <c r="G3567" s="2367">
        <v>0.92311285671990095</v>
      </c>
    </row>
    <row r="3568" spans="1:7" x14ac:dyDescent="0.25">
      <c r="A3568" s="6" t="s">
        <v>1179</v>
      </c>
      <c r="B3568" s="6"/>
      <c r="C3568" s="2360">
        <v>1952</v>
      </c>
      <c r="D3568" s="2360">
        <v>563942762.95531094</v>
      </c>
      <c r="E3568" s="2361">
        <v>35973584.966317803</v>
      </c>
      <c r="F3568" s="2362">
        <v>10.3217886802501</v>
      </c>
      <c r="G3568" s="2363">
        <v>0.67435218580331602</v>
      </c>
    </row>
    <row r="3569" spans="1:7" x14ac:dyDescent="0.25">
      <c r="A3569" s="11" t="s">
        <v>1027</v>
      </c>
      <c r="B3569" s="11"/>
      <c r="C3569" s="2364">
        <v>1574</v>
      </c>
      <c r="D3569" s="2364">
        <v>432588737.71561801</v>
      </c>
      <c r="E3569" s="2365">
        <v>34099937.892278403</v>
      </c>
      <c r="F3569" s="2366">
        <v>7.9176289323364601</v>
      </c>
      <c r="G3569" s="2367">
        <v>0.59301016172877896</v>
      </c>
    </row>
    <row r="3570" spans="1:7" x14ac:dyDescent="0.25">
      <c r="A3570" s="6" t="s">
        <v>3083</v>
      </c>
      <c r="B3570" s="6"/>
      <c r="C3570" s="2360">
        <v>1547</v>
      </c>
      <c r="D3570" s="2360">
        <v>408762019.67679799</v>
      </c>
      <c r="E3570" s="2361">
        <v>28402788.335987799</v>
      </c>
      <c r="F3570" s="2362">
        <v>7.4815308658380104</v>
      </c>
      <c r="G3570" s="2363">
        <v>0.53549387837937001</v>
      </c>
    </row>
    <row r="3571" spans="1:7" x14ac:dyDescent="0.25">
      <c r="A3571" s="11" t="s">
        <v>1017</v>
      </c>
      <c r="B3571" s="11"/>
      <c r="C3571" s="2364">
        <v>1201</v>
      </c>
      <c r="D3571" s="2364">
        <v>306411790.91311502</v>
      </c>
      <c r="E3571" s="2365">
        <v>15582950.3060032</v>
      </c>
      <c r="F3571" s="2366">
        <v>5.6082247396315399</v>
      </c>
      <c r="G3571" s="2367">
        <v>0.25197075596692903</v>
      </c>
    </row>
    <row r="3572" spans="1:7" x14ac:dyDescent="0.25">
      <c r="A3572" s="6" t="s">
        <v>1177</v>
      </c>
      <c r="B3572" s="6"/>
      <c r="C3572" s="2360">
        <v>1107</v>
      </c>
      <c r="D3572" s="2360">
        <v>296912806.01764703</v>
      </c>
      <c r="E3572" s="2361">
        <v>18715297.0455027</v>
      </c>
      <c r="F3572" s="2362">
        <v>5.4343657574644597</v>
      </c>
      <c r="G3572" s="2363">
        <v>0.36540194272111498</v>
      </c>
    </row>
    <row r="3573" spans="1:7" x14ac:dyDescent="0.25">
      <c r="A3573" s="11" t="s">
        <v>1181</v>
      </c>
      <c r="B3573" s="11"/>
      <c r="C3573" s="2364">
        <v>1064</v>
      </c>
      <c r="D3573" s="2364">
        <v>289676113.6516</v>
      </c>
      <c r="E3573" s="2365">
        <v>28008768.6558684</v>
      </c>
      <c r="F3573" s="2366">
        <v>5.3019132919786198</v>
      </c>
      <c r="G3573" s="2367">
        <v>0.50779794675741896</v>
      </c>
    </row>
    <row r="3574" spans="1:7" x14ac:dyDescent="0.25">
      <c r="A3574" s="6" t="s">
        <v>1183</v>
      </c>
      <c r="B3574" s="6"/>
      <c r="C3574" s="2360">
        <v>991</v>
      </c>
      <c r="D3574" s="2360">
        <v>270274952.346551</v>
      </c>
      <c r="E3574" s="2361">
        <v>26895806.5983654</v>
      </c>
      <c r="F3574" s="2362">
        <v>4.9468157531916503</v>
      </c>
      <c r="G3574" s="2363">
        <v>0.511167335720073</v>
      </c>
    </row>
    <row r="3575" spans="1:7" x14ac:dyDescent="0.25">
      <c r="A3575" s="11" t="s">
        <v>3069</v>
      </c>
      <c r="B3575" s="11"/>
      <c r="C3575" s="2364">
        <v>889</v>
      </c>
      <c r="D3575" s="2364">
        <v>260216639.320059</v>
      </c>
      <c r="E3575" s="2365">
        <v>33002189.904748701</v>
      </c>
      <c r="F3575" s="2366">
        <v>4.7627194434966897</v>
      </c>
      <c r="G3575" s="2367">
        <v>0.58834052382625102</v>
      </c>
    </row>
    <row r="3576" spans="1:7" x14ac:dyDescent="0.25">
      <c r="A3576" s="6" t="s">
        <v>992</v>
      </c>
      <c r="B3576" s="6"/>
      <c r="C3576" s="2360">
        <v>931</v>
      </c>
      <c r="D3576" s="2360">
        <v>247883420.72513101</v>
      </c>
      <c r="E3576" s="2361">
        <v>14488875.1869782</v>
      </c>
      <c r="F3576" s="2362">
        <v>4.5369857619133596</v>
      </c>
      <c r="G3576" s="2363">
        <v>0.28147563266915798</v>
      </c>
    </row>
    <row r="3577" spans="1:7" x14ac:dyDescent="0.25">
      <c r="A3577" s="11" t="s">
        <v>3097</v>
      </c>
      <c r="B3577" s="11"/>
      <c r="C3577" s="2364">
        <v>772</v>
      </c>
      <c r="D3577" s="2364">
        <v>214413401.96864399</v>
      </c>
      <c r="E3577" s="2365">
        <v>20170636.323715702</v>
      </c>
      <c r="F3577" s="2366">
        <v>3.9243873150106099</v>
      </c>
      <c r="G3577" s="2367">
        <v>0.381958951672904</v>
      </c>
    </row>
    <row r="3578" spans="1:7" x14ac:dyDescent="0.25">
      <c r="A3578" s="6" t="s">
        <v>3054</v>
      </c>
      <c r="B3578" s="6"/>
      <c r="C3578" s="2360">
        <v>733</v>
      </c>
      <c r="D3578" s="2360">
        <v>182372173.93166399</v>
      </c>
      <c r="E3578" s="2361">
        <v>21056562.885083299</v>
      </c>
      <c r="F3578" s="2362">
        <v>3.3379398835012801</v>
      </c>
      <c r="G3578" s="2363">
        <v>0.39323058584908699</v>
      </c>
    </row>
    <row r="3579" spans="1:7" x14ac:dyDescent="0.25">
      <c r="A3579" s="11" t="s">
        <v>1071</v>
      </c>
      <c r="B3579" s="11"/>
      <c r="C3579" s="2364">
        <v>122</v>
      </c>
      <c r="D3579" s="2364">
        <v>50920163.9287747</v>
      </c>
      <c r="E3579" s="2365">
        <v>9271437.6655888893</v>
      </c>
      <c r="F3579" s="2366">
        <v>0.93198673014650202</v>
      </c>
      <c r="G3579" s="2367">
        <v>0.17230428506013401</v>
      </c>
    </row>
    <row r="3580" spans="1:7" x14ac:dyDescent="0.25">
      <c r="A3580" s="6" t="s">
        <v>988</v>
      </c>
      <c r="B3580" s="6"/>
      <c r="C3580" s="2360">
        <v>144</v>
      </c>
      <c r="D3580" s="2360">
        <v>50032244.3197781</v>
      </c>
      <c r="E3580" s="2361">
        <v>10294628.5078055</v>
      </c>
      <c r="F3580" s="2362">
        <v>0.91573522525780704</v>
      </c>
      <c r="G3580" s="2363">
        <v>0.18881210322844399</v>
      </c>
    </row>
    <row r="3581" spans="1:7" x14ac:dyDescent="0.25">
      <c r="A3581" s="11" t="s">
        <v>986</v>
      </c>
      <c r="B3581" s="11"/>
      <c r="C3581" s="2364">
        <v>148</v>
      </c>
      <c r="D3581" s="2364">
        <v>47385806.769216202</v>
      </c>
      <c r="E3581" s="2365">
        <v>14124313.687263601</v>
      </c>
      <c r="F3581" s="2366">
        <v>0.86729774020306305</v>
      </c>
      <c r="G3581" s="2367">
        <v>0.25695004254116699</v>
      </c>
    </row>
    <row r="3582" spans="1:7" x14ac:dyDescent="0.25">
      <c r="A3582" s="6" t="s">
        <v>3099</v>
      </c>
      <c r="B3582" s="6"/>
      <c r="C3582" s="2360">
        <v>113</v>
      </c>
      <c r="D3582" s="2360">
        <v>47298777.350676097</v>
      </c>
      <c r="E3582" s="2361">
        <v>7130940.8138883803</v>
      </c>
      <c r="F3582" s="2362">
        <v>0.86570484935288405</v>
      </c>
      <c r="G3582" s="2363">
        <v>0.13035974168752501</v>
      </c>
    </row>
    <row r="3583" spans="1:7" x14ac:dyDescent="0.25">
      <c r="A3583" s="11" t="s">
        <v>1079</v>
      </c>
      <c r="B3583" s="11"/>
      <c r="C3583" s="2364">
        <v>150</v>
      </c>
      <c r="D3583" s="2364">
        <v>46038352.262596004</v>
      </c>
      <c r="E3583" s="2365">
        <v>9932283.5571676902</v>
      </c>
      <c r="F3583" s="2366">
        <v>0.84263541347916004</v>
      </c>
      <c r="G3583" s="2367">
        <v>0.18151517533306899</v>
      </c>
    </row>
    <row r="3584" spans="1:7" x14ac:dyDescent="0.25">
      <c r="A3584" s="6" t="s">
        <v>1087</v>
      </c>
      <c r="B3584" s="6"/>
      <c r="C3584" s="2360">
        <v>116</v>
      </c>
      <c r="D3584" s="2360">
        <v>41887365.084826402</v>
      </c>
      <c r="E3584" s="2361">
        <v>10222007.9678874</v>
      </c>
      <c r="F3584" s="2362">
        <v>0.76666030522733197</v>
      </c>
      <c r="G3584" s="2363">
        <v>0.18553791942820899</v>
      </c>
    </row>
    <row r="3585" spans="1:7" x14ac:dyDescent="0.25">
      <c r="A3585" s="11" t="s">
        <v>984</v>
      </c>
      <c r="B3585" s="11"/>
      <c r="C3585" s="2364">
        <v>153</v>
      </c>
      <c r="D3585" s="2364">
        <v>40286197.105338201</v>
      </c>
      <c r="E3585" s="2365">
        <v>11403165.287207101</v>
      </c>
      <c r="F3585" s="2366">
        <v>0.73735428587307605</v>
      </c>
      <c r="G3585" s="2367">
        <v>0.205094826529757</v>
      </c>
    </row>
    <row r="3586" spans="1:7" x14ac:dyDescent="0.25">
      <c r="A3586" s="6" t="s">
        <v>1013</v>
      </c>
      <c r="B3586" s="6"/>
      <c r="C3586" s="2360">
        <v>149</v>
      </c>
      <c r="D3586" s="2360">
        <v>39399705.6293694</v>
      </c>
      <c r="E3586" s="2361">
        <v>7759834.0227511497</v>
      </c>
      <c r="F3586" s="2362">
        <v>0.72112891996210704</v>
      </c>
      <c r="G3586" s="2363">
        <v>0.14039728633159501</v>
      </c>
    </row>
    <row r="3587" spans="1:7" x14ac:dyDescent="0.25">
      <c r="A3587" s="11" t="s">
        <v>3075</v>
      </c>
      <c r="B3587" s="11"/>
      <c r="C3587" s="2364">
        <v>106</v>
      </c>
      <c r="D3587" s="2364">
        <v>37605451.169551499</v>
      </c>
      <c r="E3587" s="2365">
        <v>8546514.5571254995</v>
      </c>
      <c r="F3587" s="2366">
        <v>0.68828885783277904</v>
      </c>
      <c r="G3587" s="2367">
        <v>0.15549658725859999</v>
      </c>
    </row>
    <row r="3588" spans="1:7" x14ac:dyDescent="0.25">
      <c r="A3588" s="6" t="s">
        <v>3089</v>
      </c>
      <c r="B3588" s="6"/>
      <c r="C3588" s="2360">
        <v>122</v>
      </c>
      <c r="D3588" s="2360">
        <v>37038994.129976302</v>
      </c>
      <c r="E3588" s="2361">
        <v>10096305.478141</v>
      </c>
      <c r="F3588" s="2362">
        <v>0.67792105059593299</v>
      </c>
      <c r="G3588" s="2363">
        <v>0.18230161494320199</v>
      </c>
    </row>
    <row r="3589" spans="1:7" x14ac:dyDescent="0.25">
      <c r="A3589" s="11" t="s">
        <v>1097</v>
      </c>
      <c r="B3589" s="11"/>
      <c r="C3589" s="2364">
        <v>98</v>
      </c>
      <c r="D3589" s="2364">
        <v>36794798.4897741</v>
      </c>
      <c r="E3589" s="2365">
        <v>12143121.0497042</v>
      </c>
      <c r="F3589" s="2366">
        <v>0.67345156191662703</v>
      </c>
      <c r="G3589" s="2367">
        <v>0.22131249771206599</v>
      </c>
    </row>
    <row r="3590" spans="1:7" x14ac:dyDescent="0.25">
      <c r="A3590" s="6" t="s">
        <v>1003</v>
      </c>
      <c r="B3590" s="6"/>
      <c r="C3590" s="2360">
        <v>102</v>
      </c>
      <c r="D3590" s="2360">
        <v>35138307.907878101</v>
      </c>
      <c r="E3590" s="2361">
        <v>8132439.5515816296</v>
      </c>
      <c r="F3590" s="2362">
        <v>0.64313297843564798</v>
      </c>
      <c r="G3590" s="2363">
        <v>0.146935824452506</v>
      </c>
    </row>
    <row r="3591" spans="1:7" x14ac:dyDescent="0.25">
      <c r="A3591" s="11" t="s">
        <v>3071</v>
      </c>
      <c r="B3591" s="11"/>
      <c r="C3591" s="2364">
        <v>103</v>
      </c>
      <c r="D3591" s="2364">
        <v>35091132.273882203</v>
      </c>
      <c r="E3591" s="2365">
        <v>6118551.8928757198</v>
      </c>
      <c r="F3591" s="2366">
        <v>0.64226952746695198</v>
      </c>
      <c r="G3591" s="2367">
        <v>0.110810017566185</v>
      </c>
    </row>
    <row r="3592" spans="1:7" x14ac:dyDescent="0.25">
      <c r="A3592" s="6" t="s">
        <v>1021</v>
      </c>
      <c r="B3592" s="6"/>
      <c r="C3592" s="2360">
        <v>142</v>
      </c>
      <c r="D3592" s="2360">
        <v>33756299.518913098</v>
      </c>
      <c r="E3592" s="2361">
        <v>4447593.4841414103</v>
      </c>
      <c r="F3592" s="2362">
        <v>0.61783821541665795</v>
      </c>
      <c r="G3592" s="2363">
        <v>7.9847659432014204E-2</v>
      </c>
    </row>
    <row r="3593" spans="1:7" x14ac:dyDescent="0.25">
      <c r="A3593" s="11" t="s">
        <v>3060</v>
      </c>
      <c r="B3593" s="11"/>
      <c r="C3593" s="2364">
        <v>134</v>
      </c>
      <c r="D3593" s="2364">
        <v>32996795.4186465</v>
      </c>
      <c r="E3593" s="2365">
        <v>6274029.0095034596</v>
      </c>
      <c r="F3593" s="2366">
        <v>0.60393708689848302</v>
      </c>
      <c r="G3593" s="2367">
        <v>0.113091324900298</v>
      </c>
    </row>
    <row r="3594" spans="1:7" x14ac:dyDescent="0.25">
      <c r="A3594" s="6" t="s">
        <v>3087</v>
      </c>
      <c r="B3594" s="6"/>
      <c r="C3594" s="2360">
        <v>110</v>
      </c>
      <c r="D3594" s="2360">
        <v>31669178.8869652</v>
      </c>
      <c r="E3594" s="2361">
        <v>8261838.47707396</v>
      </c>
      <c r="F3594" s="2362">
        <v>0.57963785267015699</v>
      </c>
      <c r="G3594" s="2363">
        <v>0.14815259723775401</v>
      </c>
    </row>
    <row r="3595" spans="1:7" x14ac:dyDescent="0.25">
      <c r="A3595" s="11" t="s">
        <v>1015</v>
      </c>
      <c r="B3595" s="11"/>
      <c r="C3595" s="2364">
        <v>82</v>
      </c>
      <c r="D3595" s="2364">
        <v>31248344.977678198</v>
      </c>
      <c r="E3595" s="2365">
        <v>8984743.2569719795</v>
      </c>
      <c r="F3595" s="2366">
        <v>0.57193537120132798</v>
      </c>
      <c r="G3595" s="2367">
        <v>0.16242398809223199</v>
      </c>
    </row>
    <row r="3596" spans="1:7" x14ac:dyDescent="0.25">
      <c r="A3596" s="6" t="s">
        <v>1033</v>
      </c>
      <c r="B3596" s="6"/>
      <c r="C3596" s="2360">
        <v>128</v>
      </c>
      <c r="D3596" s="2360">
        <v>30868614.7746071</v>
      </c>
      <c r="E3596" s="2361">
        <v>8112742.7546702595</v>
      </c>
      <c r="F3596" s="2362">
        <v>0.56498520680686204</v>
      </c>
      <c r="G3596" s="2363">
        <v>0.146598852015212</v>
      </c>
    </row>
    <row r="3597" spans="1:7" x14ac:dyDescent="0.25">
      <c r="A3597" s="11" t="s">
        <v>1029</v>
      </c>
      <c r="B3597" s="11"/>
      <c r="C3597" s="2364">
        <v>106</v>
      </c>
      <c r="D3597" s="2364">
        <v>30243556.4518793</v>
      </c>
      <c r="E3597" s="2365">
        <v>13550819.1609171</v>
      </c>
      <c r="F3597" s="2366">
        <v>0.55354482607350897</v>
      </c>
      <c r="G3597" s="2367">
        <v>0.24722983577784999</v>
      </c>
    </row>
    <row r="3598" spans="1:7" x14ac:dyDescent="0.25">
      <c r="A3598" s="6" t="s">
        <v>1077</v>
      </c>
      <c r="B3598" s="6"/>
      <c r="C3598" s="2360">
        <v>121</v>
      </c>
      <c r="D3598" s="2360">
        <v>30002831.240536101</v>
      </c>
      <c r="E3598" s="2361">
        <v>7815973.4948734604</v>
      </c>
      <c r="F3598" s="2362">
        <v>0.54913885631077597</v>
      </c>
      <c r="G3598" s="2363">
        <v>0.14411174595326201</v>
      </c>
    </row>
    <row r="3599" spans="1:7" x14ac:dyDescent="0.25">
      <c r="A3599" s="11" t="s">
        <v>1095</v>
      </c>
      <c r="B3599" s="11"/>
      <c r="C3599" s="2364">
        <v>93</v>
      </c>
      <c r="D3599" s="2364">
        <v>29795126.689560901</v>
      </c>
      <c r="E3599" s="2365">
        <v>8974297.3692161608</v>
      </c>
      <c r="F3599" s="2366">
        <v>0.54533726043275199</v>
      </c>
      <c r="G3599" s="2367">
        <v>0.16243103365678899</v>
      </c>
    </row>
    <row r="3600" spans="1:7" x14ac:dyDescent="0.25">
      <c r="A3600" s="6" t="s">
        <v>3058</v>
      </c>
      <c r="B3600" s="6"/>
      <c r="C3600" s="2360">
        <v>96</v>
      </c>
      <c r="D3600" s="2360">
        <v>29350700.984384999</v>
      </c>
      <c r="E3600" s="2361">
        <v>7218697.3499594899</v>
      </c>
      <c r="F3600" s="2362">
        <v>0.53720298065432603</v>
      </c>
      <c r="G3600" s="2363">
        <v>0.13022433549217399</v>
      </c>
    </row>
    <row r="3601" spans="1:7" x14ac:dyDescent="0.25">
      <c r="A3601" s="11" t="s">
        <v>1093</v>
      </c>
      <c r="B3601" s="11"/>
      <c r="C3601" s="2364">
        <v>100</v>
      </c>
      <c r="D3601" s="2364">
        <v>29227365.197361801</v>
      </c>
      <c r="E3601" s="2365">
        <v>5903883.3164624004</v>
      </c>
      <c r="F3601" s="2366">
        <v>0.53494557792839204</v>
      </c>
      <c r="G3601" s="2367">
        <v>0.1089899530597</v>
      </c>
    </row>
    <row r="3602" spans="1:7" x14ac:dyDescent="0.25">
      <c r="A3602" s="6" t="s">
        <v>3199</v>
      </c>
      <c r="B3602" s="6"/>
      <c r="C3602" s="2360">
        <v>120</v>
      </c>
      <c r="D3602" s="2360">
        <v>28979962.5522236</v>
      </c>
      <c r="E3602" s="2361">
        <v>6912291.0452530403</v>
      </c>
      <c r="F3602" s="2362">
        <v>0.53041739175455405</v>
      </c>
      <c r="G3602" s="2363">
        <v>0.124171171050578</v>
      </c>
    </row>
    <row r="3603" spans="1:7" x14ac:dyDescent="0.25">
      <c r="A3603" s="11" t="s">
        <v>3197</v>
      </c>
      <c r="B3603" s="11"/>
      <c r="C3603" s="2364">
        <v>89</v>
      </c>
      <c r="D3603" s="2364">
        <v>27688123.259835102</v>
      </c>
      <c r="E3603" s="2365">
        <v>7938131.9308364699</v>
      </c>
      <c r="F3603" s="2366">
        <v>0.50677298480268296</v>
      </c>
      <c r="G3603" s="2367">
        <v>0.144800045868098</v>
      </c>
    </row>
    <row r="3604" spans="1:7" x14ac:dyDescent="0.25">
      <c r="A3604" s="6" t="s">
        <v>1073</v>
      </c>
      <c r="B3604" s="6"/>
      <c r="C3604" s="2360">
        <v>84</v>
      </c>
      <c r="D3604" s="2360">
        <v>27165752.052396599</v>
      </c>
      <c r="E3604" s="2361">
        <v>8135024.3475980302</v>
      </c>
      <c r="F3604" s="2362">
        <v>0.49721207619633501</v>
      </c>
      <c r="G3604" s="2363">
        <v>0.14601544173620801</v>
      </c>
    </row>
    <row r="3605" spans="1:7" x14ac:dyDescent="0.25">
      <c r="A3605" s="11" t="s">
        <v>1019</v>
      </c>
      <c r="B3605" s="11"/>
      <c r="C3605" s="2364">
        <v>87</v>
      </c>
      <c r="D3605" s="2364">
        <v>27027393.794412602</v>
      </c>
      <c r="E3605" s="2365">
        <v>8001846.4529978</v>
      </c>
      <c r="F3605" s="2366">
        <v>0.49467971866842703</v>
      </c>
      <c r="G3605" s="2367">
        <v>0.146394395095158</v>
      </c>
    </row>
    <row r="3606" spans="1:7" x14ac:dyDescent="0.25">
      <c r="A3606" s="6" t="s">
        <v>994</v>
      </c>
      <c r="B3606" s="6"/>
      <c r="C3606" s="2360">
        <v>94</v>
      </c>
      <c r="D3606" s="2360">
        <v>26748045.742412198</v>
      </c>
      <c r="E3606" s="2361">
        <v>8935518.4564145003</v>
      </c>
      <c r="F3606" s="2362">
        <v>0.48956683886857499</v>
      </c>
      <c r="G3606" s="2363">
        <v>0.16294682505161401</v>
      </c>
    </row>
    <row r="3607" spans="1:7" x14ac:dyDescent="0.25">
      <c r="A3607" s="11" t="s">
        <v>3085</v>
      </c>
      <c r="B3607" s="11"/>
      <c r="C3607" s="2364">
        <v>112</v>
      </c>
      <c r="D3607" s="2364">
        <v>26435459.8217257</v>
      </c>
      <c r="E3607" s="2365">
        <v>9511904.4002536293</v>
      </c>
      <c r="F3607" s="2366">
        <v>0.48384560964162199</v>
      </c>
      <c r="G3607" s="2367">
        <v>0.173848119489457</v>
      </c>
    </row>
    <row r="3608" spans="1:7" x14ac:dyDescent="0.25">
      <c r="A3608" s="6" t="s">
        <v>3056</v>
      </c>
      <c r="B3608" s="6"/>
      <c r="C3608" s="2360">
        <v>81</v>
      </c>
      <c r="D3608" s="2360">
        <v>25767264.989307798</v>
      </c>
      <c r="E3608" s="2361">
        <v>6665706.8226727303</v>
      </c>
      <c r="F3608" s="2362">
        <v>0.47161570563273197</v>
      </c>
      <c r="G3608" s="2363">
        <v>0.121052403069807</v>
      </c>
    </row>
    <row r="3609" spans="1:7" x14ac:dyDescent="0.25">
      <c r="A3609" s="11" t="s">
        <v>1091</v>
      </c>
      <c r="B3609" s="11"/>
      <c r="C3609" s="2364">
        <v>67</v>
      </c>
      <c r="D3609" s="2364">
        <v>25419819.2748711</v>
      </c>
      <c r="E3609" s="2365">
        <v>8718836.8723058198</v>
      </c>
      <c r="F3609" s="2366">
        <v>0.46525644104445901</v>
      </c>
      <c r="G3609" s="2367">
        <v>0.15788709017365801</v>
      </c>
    </row>
    <row r="3610" spans="1:7" x14ac:dyDescent="0.25">
      <c r="A3610" s="6" t="s">
        <v>1031</v>
      </c>
      <c r="B3610" s="6"/>
      <c r="C3610" s="2360">
        <v>141</v>
      </c>
      <c r="D3610" s="2360">
        <v>25108847.556233101</v>
      </c>
      <c r="E3610" s="2361">
        <v>5703599.5424399003</v>
      </c>
      <c r="F3610" s="2362">
        <v>0.45956475639813898</v>
      </c>
      <c r="G3610" s="2363">
        <v>0.101338705598974</v>
      </c>
    </row>
    <row r="3611" spans="1:7" x14ac:dyDescent="0.25">
      <c r="A3611" s="11" t="s">
        <v>1085</v>
      </c>
      <c r="B3611" s="11"/>
      <c r="C3611" s="2364">
        <v>79</v>
      </c>
      <c r="D3611" s="2364">
        <v>24488642.9491871</v>
      </c>
      <c r="E3611" s="2365">
        <v>8163771.3665030198</v>
      </c>
      <c r="F3611" s="2366">
        <v>0.44821321274342701</v>
      </c>
      <c r="G3611" s="2367">
        <v>0.148907379633543</v>
      </c>
    </row>
    <row r="3612" spans="1:7" x14ac:dyDescent="0.25">
      <c r="A3612" s="6" t="s">
        <v>1023</v>
      </c>
      <c r="B3612" s="6"/>
      <c r="C3612" s="2360">
        <v>93</v>
      </c>
      <c r="D3612" s="2360">
        <v>24488202.9660208</v>
      </c>
      <c r="E3612" s="2361">
        <v>6601209.3633679999</v>
      </c>
      <c r="F3612" s="2362">
        <v>0.44820515977499897</v>
      </c>
      <c r="G3612" s="2363">
        <v>0.120332033221171</v>
      </c>
    </row>
    <row r="3613" spans="1:7" x14ac:dyDescent="0.25">
      <c r="A3613" s="11" t="s">
        <v>3201</v>
      </c>
      <c r="B3613" s="11"/>
      <c r="C3613" s="2364">
        <v>104</v>
      </c>
      <c r="D3613" s="2364">
        <v>24158330.129733302</v>
      </c>
      <c r="E3613" s="2365">
        <v>5564547.0437884703</v>
      </c>
      <c r="F3613" s="2366">
        <v>0.44216752983952201</v>
      </c>
      <c r="G3613" s="2367">
        <v>0.102487275938185</v>
      </c>
    </row>
    <row r="3614" spans="1:7" x14ac:dyDescent="0.25">
      <c r="A3614" s="6" t="s">
        <v>1089</v>
      </c>
      <c r="B3614" s="6"/>
      <c r="C3614" s="2360">
        <v>92</v>
      </c>
      <c r="D3614" s="2360">
        <v>23658761.482592601</v>
      </c>
      <c r="E3614" s="2361">
        <v>6749629.1466303999</v>
      </c>
      <c r="F3614" s="2362">
        <v>0.43302397424171202</v>
      </c>
      <c r="G3614" s="2363">
        <v>0.12155614441784</v>
      </c>
    </row>
    <row r="3615" spans="1:7" x14ac:dyDescent="0.25">
      <c r="A3615" s="11" t="s">
        <v>1025</v>
      </c>
      <c r="B3615" s="11"/>
      <c r="C3615" s="2364">
        <v>65</v>
      </c>
      <c r="D3615" s="2364">
        <v>23448153.727065399</v>
      </c>
      <c r="E3615" s="2365">
        <v>4658875.8718347102</v>
      </c>
      <c r="F3615" s="2366">
        <v>0.429169241297571</v>
      </c>
      <c r="G3615" s="2367">
        <v>8.7728376571345801E-2</v>
      </c>
    </row>
    <row r="3616" spans="1:7" x14ac:dyDescent="0.25">
      <c r="A3616" s="6" t="s">
        <v>1081</v>
      </c>
      <c r="B3616" s="6"/>
      <c r="C3616" s="2360">
        <v>117</v>
      </c>
      <c r="D3616" s="2360">
        <v>22851518.261089101</v>
      </c>
      <c r="E3616" s="2361">
        <v>4996440.3337579397</v>
      </c>
      <c r="F3616" s="2362">
        <v>0.418249081303537</v>
      </c>
      <c r="G3616" s="2363">
        <v>9.1967812846465394E-2</v>
      </c>
    </row>
    <row r="3617" spans="1:7" x14ac:dyDescent="0.25">
      <c r="A3617" s="11" t="s">
        <v>1069</v>
      </c>
      <c r="B3617" s="11"/>
      <c r="C3617" s="2364">
        <v>88</v>
      </c>
      <c r="D3617" s="2364">
        <v>22552457.603716001</v>
      </c>
      <c r="E3617" s="2365">
        <v>8831452.6299851295</v>
      </c>
      <c r="F3617" s="2366">
        <v>0.41277540363489301</v>
      </c>
      <c r="G3617" s="2367">
        <v>0.16030590351583199</v>
      </c>
    </row>
    <row r="3618" spans="1:7" x14ac:dyDescent="0.25">
      <c r="A3618" s="6" t="s">
        <v>3073</v>
      </c>
      <c r="B3618" s="6"/>
      <c r="C3618" s="2360">
        <v>101</v>
      </c>
      <c r="D3618" s="2360">
        <v>21505487.719410699</v>
      </c>
      <c r="E3618" s="2361">
        <v>4455028.3008394903</v>
      </c>
      <c r="F3618" s="2362">
        <v>0.39361281726929398</v>
      </c>
      <c r="G3618" s="2363">
        <v>8.0197904353212904E-2</v>
      </c>
    </row>
    <row r="3619" spans="1:7" x14ac:dyDescent="0.25">
      <c r="A3619" s="11" t="s">
        <v>1083</v>
      </c>
      <c r="B3619" s="11"/>
      <c r="C3619" s="2364">
        <v>66</v>
      </c>
      <c r="D3619" s="2364">
        <v>20179416.143743701</v>
      </c>
      <c r="E3619" s="2365">
        <v>7932568.6983394502</v>
      </c>
      <c r="F3619" s="2366">
        <v>0.36934186021827597</v>
      </c>
      <c r="G3619" s="2367">
        <v>0.143341298986394</v>
      </c>
    </row>
    <row r="3620" spans="1:7" x14ac:dyDescent="0.25">
      <c r="A3620" s="6" t="s">
        <v>990</v>
      </c>
      <c r="B3620" s="6"/>
      <c r="C3620" s="2360">
        <v>84</v>
      </c>
      <c r="D3620" s="2360">
        <v>18381775.788674202</v>
      </c>
      <c r="E3620" s="2361">
        <v>4143606.9086228702</v>
      </c>
      <c r="F3620" s="2362">
        <v>0.33643982638264103</v>
      </c>
      <c r="G3620" s="2363">
        <v>7.3729159066992095E-2</v>
      </c>
    </row>
    <row r="3621" spans="1:7" x14ac:dyDescent="0.25">
      <c r="A3621" s="11" t="s">
        <v>1099</v>
      </c>
      <c r="B3621" s="11"/>
      <c r="C3621" s="2364">
        <v>64</v>
      </c>
      <c r="D3621" s="2364">
        <v>17705905.563171901</v>
      </c>
      <c r="E3621" s="2365">
        <v>4987879.57074566</v>
      </c>
      <c r="F3621" s="2366">
        <v>0.32406944041235303</v>
      </c>
      <c r="G3621" s="2367">
        <v>8.92632571857149E-2</v>
      </c>
    </row>
    <row r="3622" spans="1:7" x14ac:dyDescent="0.25">
      <c r="A3622" s="6" t="s">
        <v>3091</v>
      </c>
      <c r="B3622" s="6"/>
      <c r="C3622" s="2360">
        <v>63</v>
      </c>
      <c r="D3622" s="2360">
        <v>15234158.9822667</v>
      </c>
      <c r="E3622" s="2361">
        <v>4747557.6881213496</v>
      </c>
      <c r="F3622" s="2362">
        <v>0.27882930691807001</v>
      </c>
      <c r="G3622" s="2363">
        <v>8.7114925053326603E-2</v>
      </c>
    </row>
    <row r="3623" spans="1:7" x14ac:dyDescent="0.25">
      <c r="A3623" s="11" t="s">
        <v>3062</v>
      </c>
      <c r="B3623" s="11"/>
      <c r="C3623" s="2364">
        <v>44</v>
      </c>
      <c r="D3623" s="2364">
        <v>13613381.6245098</v>
      </c>
      <c r="E3623" s="2365">
        <v>5575713.5913466197</v>
      </c>
      <c r="F3623" s="2366">
        <v>0.249164379050512</v>
      </c>
      <c r="G3623" s="2367">
        <v>0.10124831947927</v>
      </c>
    </row>
    <row r="3624" spans="1:7" x14ac:dyDescent="0.25">
      <c r="A3624" s="6" t="s">
        <v>3077</v>
      </c>
      <c r="B3624" s="6"/>
      <c r="C3624" s="2360">
        <v>52</v>
      </c>
      <c r="D3624" s="2360">
        <v>12990823.5521926</v>
      </c>
      <c r="E3624" s="2361">
        <v>4798844.3856394496</v>
      </c>
      <c r="F3624" s="2362">
        <v>0.23776976015343099</v>
      </c>
      <c r="G3624" s="2363">
        <v>8.7101774820914996E-2</v>
      </c>
    </row>
    <row r="3625" spans="1:7" x14ac:dyDescent="0.25">
      <c r="A3625" s="11" t="s">
        <v>1035</v>
      </c>
      <c r="B3625" s="11"/>
      <c r="C3625" s="2364">
        <v>50</v>
      </c>
      <c r="D3625" s="2364">
        <v>12887198.679482499</v>
      </c>
      <c r="E3625" s="2365">
        <v>5220457.96192622</v>
      </c>
      <c r="F3625" s="2366">
        <v>0.235873124344992</v>
      </c>
      <c r="G3625" s="2367">
        <v>9.5472188407751402E-2</v>
      </c>
    </row>
    <row r="3626" spans="1:7" x14ac:dyDescent="0.25">
      <c r="A3626" s="6" t="s">
        <v>1075</v>
      </c>
      <c r="B3626" s="6"/>
      <c r="C3626" s="2360">
        <v>63</v>
      </c>
      <c r="D3626" s="2360">
        <v>12313825.2641514</v>
      </c>
      <c r="E3626" s="2361">
        <v>3408173.7593049998</v>
      </c>
      <c r="F3626" s="2362">
        <v>0.22537872736593101</v>
      </c>
      <c r="G3626" s="2363">
        <v>6.2849054718107394E-2</v>
      </c>
    </row>
    <row r="3627" spans="1:7" x14ac:dyDescent="0.25">
      <c r="A3627" s="11" t="s">
        <v>6293</v>
      </c>
      <c r="B3627" s="11" t="s">
        <v>6294</v>
      </c>
      <c r="C3627" s="2364">
        <v>19779</v>
      </c>
      <c r="D3627" s="2364">
        <v>5463614693.3948698</v>
      </c>
      <c r="E3627" s="2365">
        <v>72575038.820911497</v>
      </c>
      <c r="F3627" s="2366">
        <v>100</v>
      </c>
      <c r="G3627" s="2367">
        <v>1.78031750616652E-14</v>
      </c>
    </row>
    <row r="3628" spans="1:7" x14ac:dyDescent="0.25">
      <c r="A3628" s="6" t="s">
        <v>6293</v>
      </c>
      <c r="B3628" s="6" t="s">
        <v>6295</v>
      </c>
      <c r="C3628" s="2360">
        <v>19779</v>
      </c>
      <c r="D3628" s="2360">
        <v>5463614693.3948698</v>
      </c>
      <c r="E3628" s="2361">
        <v>0</v>
      </c>
      <c r="F3628" s="2362">
        <v>100</v>
      </c>
      <c r="G3628" s="2363">
        <v>0</v>
      </c>
    </row>
    <row r="3629" spans="1:7" x14ac:dyDescent="0.25">
      <c r="A3629" s="3353" t="s">
        <v>169</v>
      </c>
      <c r="B3629" s="3354"/>
      <c r="C3629" s="3354"/>
      <c r="D3629" s="3354"/>
      <c r="E3629" s="3354"/>
      <c r="F3629" s="3354"/>
      <c r="G3629" s="3354"/>
    </row>
    <row r="3630" spans="1:7" x14ac:dyDescent="0.25">
      <c r="A3630" s="11" t="s">
        <v>6475</v>
      </c>
      <c r="B3630" s="11"/>
      <c r="C3630" s="2372">
        <v>12077</v>
      </c>
      <c r="D3630" s="2372">
        <v>3444974444.07546</v>
      </c>
      <c r="E3630" s="2373">
        <v>59262681.552159302</v>
      </c>
      <c r="F3630" s="2374">
        <v>63.053026931789198</v>
      </c>
      <c r="G3630" s="2375">
        <v>0.76276199845847403</v>
      </c>
    </row>
    <row r="3631" spans="1:7" x14ac:dyDescent="0.25">
      <c r="A3631" s="6" t="s">
        <v>6474</v>
      </c>
      <c r="B3631" s="6"/>
      <c r="C3631" s="2368">
        <v>7702</v>
      </c>
      <c r="D3631" s="2368">
        <v>2018640249.3194101</v>
      </c>
      <c r="E3631" s="2369">
        <v>51537171.178981498</v>
      </c>
      <c r="F3631" s="2370">
        <v>36.946973068210802</v>
      </c>
      <c r="G3631" s="2371">
        <v>0.76276199845846804</v>
      </c>
    </row>
    <row r="3632" spans="1:7" x14ac:dyDescent="0.25">
      <c r="A3632" s="11" t="s">
        <v>6293</v>
      </c>
      <c r="B3632" s="11" t="s">
        <v>6294</v>
      </c>
      <c r="C3632" s="2372">
        <v>19779</v>
      </c>
      <c r="D3632" s="2372">
        <v>5463614693.3948603</v>
      </c>
      <c r="E3632" s="2373">
        <v>72575038.820909098</v>
      </c>
      <c r="F3632" s="2374">
        <v>100</v>
      </c>
      <c r="G3632" s="2375">
        <v>2.29838001744816E-14</v>
      </c>
    </row>
    <row r="3633" spans="1:7" x14ac:dyDescent="0.25">
      <c r="A3633" s="6" t="s">
        <v>6293</v>
      </c>
      <c r="B3633" s="6" t="s">
        <v>6295</v>
      </c>
      <c r="C3633" s="2368">
        <v>19779</v>
      </c>
      <c r="D3633" s="2368">
        <v>5463614693.3948603</v>
      </c>
      <c r="E3633" s="2369">
        <v>0</v>
      </c>
      <c r="F3633" s="2370">
        <v>100</v>
      </c>
      <c r="G3633" s="2371">
        <v>0</v>
      </c>
    </row>
    <row r="3634" spans="1:7" x14ac:dyDescent="0.25">
      <c r="A3634" s="3353" t="s">
        <v>794</v>
      </c>
      <c r="B3634" s="3354"/>
      <c r="C3634" s="3354"/>
      <c r="D3634" s="3354"/>
      <c r="E3634" s="3354"/>
      <c r="F3634" s="3354"/>
      <c r="G3634" s="3354"/>
    </row>
    <row r="3635" spans="1:7" x14ac:dyDescent="0.25">
      <c r="A3635" s="11" t="s">
        <v>996</v>
      </c>
      <c r="B3635" s="11" t="s">
        <v>997</v>
      </c>
      <c r="C3635" s="2380">
        <v>31</v>
      </c>
      <c r="D3635" s="2380">
        <v>12639266.2763854</v>
      </c>
      <c r="E3635" s="2381">
        <v>4305984.7489287201</v>
      </c>
      <c r="F3635" s="2382">
        <v>100</v>
      </c>
      <c r="G3635" s="2383">
        <v>0</v>
      </c>
    </row>
    <row r="3636" spans="1:7" x14ac:dyDescent="0.25">
      <c r="A3636" s="6" t="s">
        <v>6293</v>
      </c>
      <c r="B3636" s="6" t="s">
        <v>6294</v>
      </c>
      <c r="C3636" s="2376">
        <v>19723</v>
      </c>
      <c r="D3636" s="2376">
        <v>5450975427.1184797</v>
      </c>
      <c r="E3636" s="2377">
        <v>74213422.509589002</v>
      </c>
      <c r="F3636" s="2378">
        <v>99.768664757936406</v>
      </c>
      <c r="G3636" s="2379">
        <v>7.9747323393046202E-2</v>
      </c>
    </row>
    <row r="3637" spans="1:7" x14ac:dyDescent="0.25">
      <c r="A3637" s="11" t="s">
        <v>6293</v>
      </c>
      <c r="B3637" s="11" t="s">
        <v>6295</v>
      </c>
      <c r="C3637" s="2380">
        <v>19754</v>
      </c>
      <c r="D3637" s="2380">
        <v>5463614693.3948698</v>
      </c>
      <c r="E3637" s="2381">
        <v>0</v>
      </c>
      <c r="F3637" s="2382">
        <v>100</v>
      </c>
      <c r="G3637" s="2383">
        <v>0</v>
      </c>
    </row>
    <row r="3638" spans="1:7" x14ac:dyDescent="0.25">
      <c r="A3638" s="3353" t="s">
        <v>781</v>
      </c>
      <c r="B3638" s="3354"/>
      <c r="C3638" s="3354"/>
      <c r="D3638" s="3354"/>
      <c r="E3638" s="3354"/>
      <c r="F3638" s="3354"/>
      <c r="G3638" s="3354"/>
    </row>
    <row r="3639" spans="1:7" x14ac:dyDescent="0.25">
      <c r="A3639" s="11" t="s">
        <v>6293</v>
      </c>
      <c r="B3639" s="11" t="s">
        <v>6294</v>
      </c>
      <c r="C3639" s="2388">
        <v>18345</v>
      </c>
      <c r="D3639" s="2388">
        <v>5463614693.3948698</v>
      </c>
      <c r="E3639" s="2389">
        <v>72575038.820913598</v>
      </c>
      <c r="F3639" s="2390">
        <v>100</v>
      </c>
      <c r="G3639" s="2391">
        <v>2.0557335828564899E-14</v>
      </c>
    </row>
    <row r="3640" spans="1:7" x14ac:dyDescent="0.25">
      <c r="A3640" s="6" t="s">
        <v>6293</v>
      </c>
      <c r="B3640" s="6" t="s">
        <v>6295</v>
      </c>
      <c r="C3640" s="2384">
        <v>18345</v>
      </c>
      <c r="D3640" s="2384">
        <v>5463614693.3948698</v>
      </c>
      <c r="E3640" s="2385">
        <v>0</v>
      </c>
      <c r="F3640" s="2386">
        <v>100</v>
      </c>
      <c r="G3640" s="2387">
        <v>0</v>
      </c>
    </row>
    <row r="3641" spans="1:7" x14ac:dyDescent="0.25">
      <c r="A3641" s="3353" t="s">
        <v>779</v>
      </c>
      <c r="B3641" s="3354"/>
      <c r="C3641" s="3354"/>
      <c r="D3641" s="3354"/>
      <c r="E3641" s="3354"/>
      <c r="F3641" s="3354"/>
      <c r="G3641" s="3354"/>
    </row>
    <row r="3642" spans="1:7" x14ac:dyDescent="0.25">
      <c r="A3642" s="11" t="s">
        <v>996</v>
      </c>
      <c r="B3642" s="11" t="s">
        <v>997</v>
      </c>
      <c r="C3642" s="2396">
        <v>9</v>
      </c>
      <c r="D3642" s="2396">
        <v>2642294.4989993302</v>
      </c>
      <c r="E3642" s="2397">
        <v>1837600.0762722699</v>
      </c>
      <c r="F3642" s="2398">
        <v>100</v>
      </c>
      <c r="G3642" s="2399">
        <v>0</v>
      </c>
    </row>
    <row r="3643" spans="1:7" x14ac:dyDescent="0.25">
      <c r="A3643" s="6" t="s">
        <v>6293</v>
      </c>
      <c r="B3643" s="6" t="s">
        <v>6294</v>
      </c>
      <c r="C3643" s="2392">
        <v>18340</v>
      </c>
      <c r="D3643" s="2392">
        <v>5460972398.8958702</v>
      </c>
      <c r="E3643" s="2393">
        <v>72579877.490404099</v>
      </c>
      <c r="F3643" s="2394">
        <v>99.9516383448087</v>
      </c>
      <c r="G3643" s="2395">
        <v>3.3539752466269099E-2</v>
      </c>
    </row>
    <row r="3644" spans="1:7" x14ac:dyDescent="0.25">
      <c r="A3644" s="11" t="s">
        <v>6293</v>
      </c>
      <c r="B3644" s="11" t="s">
        <v>6295</v>
      </c>
      <c r="C3644" s="2396">
        <v>18349</v>
      </c>
      <c r="D3644" s="2396">
        <v>5463614693.3948698</v>
      </c>
      <c r="E3644" s="2397">
        <v>0</v>
      </c>
      <c r="F3644" s="2398">
        <v>100</v>
      </c>
      <c r="G3644" s="2399">
        <v>0</v>
      </c>
    </row>
    <row r="3645" spans="1:7" x14ac:dyDescent="0.25">
      <c r="A3645" s="3353" t="s">
        <v>910</v>
      </c>
      <c r="B3645" s="3354"/>
      <c r="C3645" s="3354"/>
      <c r="D3645" s="3354"/>
      <c r="E3645" s="3354"/>
      <c r="F3645" s="3354"/>
      <c r="G3645" s="3354"/>
    </row>
    <row r="3646" spans="1:7" x14ac:dyDescent="0.25">
      <c r="A3646" s="11" t="s">
        <v>984</v>
      </c>
      <c r="B3646" s="11"/>
      <c r="C3646" s="2404">
        <v>207</v>
      </c>
      <c r="D3646" s="2404">
        <v>38473309.3365421</v>
      </c>
      <c r="E3646" s="2405">
        <v>17334111.457434699</v>
      </c>
      <c r="F3646" s="2406">
        <v>26.831656852979901</v>
      </c>
      <c r="G3646" s="2407">
        <v>10.5166134264318</v>
      </c>
    </row>
    <row r="3647" spans="1:7" x14ac:dyDescent="0.25">
      <c r="A3647" s="6" t="s">
        <v>6646</v>
      </c>
      <c r="B3647" s="6"/>
      <c r="C3647" s="2400">
        <v>65</v>
      </c>
      <c r="D3647" s="2400">
        <v>18296423.6101982</v>
      </c>
      <c r="E3647" s="2401">
        <v>5345157.8739444902</v>
      </c>
      <c r="F3647" s="2402">
        <v>12.760102221810101</v>
      </c>
      <c r="G3647" s="2403">
        <v>4.4953004075830201</v>
      </c>
    </row>
    <row r="3648" spans="1:7" x14ac:dyDescent="0.25">
      <c r="A3648" s="11" t="s">
        <v>986</v>
      </c>
      <c r="B3648" s="11"/>
      <c r="C3648" s="2404">
        <v>99</v>
      </c>
      <c r="D3648" s="2404">
        <v>8053880.2269230904</v>
      </c>
      <c r="E3648" s="2405">
        <v>2457296.0301222298</v>
      </c>
      <c r="F3648" s="2406">
        <v>5.6168537178201303</v>
      </c>
      <c r="G3648" s="2407">
        <v>1.7370138221214899</v>
      </c>
    </row>
    <row r="3649" spans="1:7" x14ac:dyDescent="0.25">
      <c r="A3649" s="6" t="s">
        <v>1174</v>
      </c>
      <c r="B3649" s="6"/>
      <c r="C3649" s="2400">
        <v>19</v>
      </c>
      <c r="D3649" s="2400">
        <v>7567628.3302793195</v>
      </c>
      <c r="E3649" s="2401">
        <v>3973612.1130239801</v>
      </c>
      <c r="F3649" s="2402">
        <v>5.2777369571398998</v>
      </c>
      <c r="G3649" s="2403">
        <v>2.79065650301124</v>
      </c>
    </row>
    <row r="3650" spans="1:7" x14ac:dyDescent="0.25">
      <c r="A3650" s="11" t="s">
        <v>988</v>
      </c>
      <c r="B3650" s="11"/>
      <c r="C3650" s="2404">
        <v>60</v>
      </c>
      <c r="D3650" s="2404">
        <v>6230252.1974770697</v>
      </c>
      <c r="E3650" s="2405">
        <v>2177296.77373337</v>
      </c>
      <c r="F3650" s="2406">
        <v>4.34503794846293</v>
      </c>
      <c r="G3650" s="2407">
        <v>1.69108584775691</v>
      </c>
    </row>
    <row r="3651" spans="1:7" x14ac:dyDescent="0.25">
      <c r="A3651" s="6" t="s">
        <v>990</v>
      </c>
      <c r="B3651" s="6"/>
      <c r="C3651" s="2400">
        <v>24</v>
      </c>
      <c r="D3651" s="2400">
        <v>5440980.8890915699</v>
      </c>
      <c r="E3651" s="2401">
        <v>2668705.7717788001</v>
      </c>
      <c r="F3651" s="2402">
        <v>3.79459252861994</v>
      </c>
      <c r="G3651" s="2403">
        <v>1.80635340403662</v>
      </c>
    </row>
    <row r="3652" spans="1:7" x14ac:dyDescent="0.25">
      <c r="A3652" s="11" t="s">
        <v>6647</v>
      </c>
      <c r="B3652" s="11"/>
      <c r="C3652" s="2404">
        <v>43</v>
      </c>
      <c r="D3652" s="2404">
        <v>4695206.8466942599</v>
      </c>
      <c r="E3652" s="2405">
        <v>2674489.0452184398</v>
      </c>
      <c r="F3652" s="2406">
        <v>3.2744825214348201</v>
      </c>
      <c r="G3652" s="2407">
        <v>1.8853075981488401</v>
      </c>
    </row>
    <row r="3653" spans="1:7" x14ac:dyDescent="0.25">
      <c r="A3653" s="6" t="s">
        <v>6648</v>
      </c>
      <c r="B3653" s="6"/>
      <c r="C3653" s="2400">
        <v>38</v>
      </c>
      <c r="D3653" s="2400">
        <v>4600919.34637642</v>
      </c>
      <c r="E3653" s="2401">
        <v>1999405.5489415401</v>
      </c>
      <c r="F3653" s="2402">
        <v>3.2087255096861398</v>
      </c>
      <c r="G3653" s="2403">
        <v>1.49696222775038</v>
      </c>
    </row>
    <row r="3654" spans="1:7" x14ac:dyDescent="0.25">
      <c r="A3654" s="11" t="s">
        <v>994</v>
      </c>
      <c r="B3654" s="11"/>
      <c r="C3654" s="2404">
        <v>17</v>
      </c>
      <c r="D3654" s="2404">
        <v>4267420.8710357295</v>
      </c>
      <c r="E3654" s="2405">
        <v>2402133.8686943301</v>
      </c>
      <c r="F3654" s="2406">
        <v>2.97614045772041</v>
      </c>
      <c r="G3654" s="2407">
        <v>1.6260522791546801</v>
      </c>
    </row>
    <row r="3655" spans="1:7" x14ac:dyDescent="0.25">
      <c r="A3655" s="6" t="s">
        <v>6649</v>
      </c>
      <c r="B3655" s="6"/>
      <c r="C3655" s="2400">
        <v>32</v>
      </c>
      <c r="D3655" s="2400">
        <v>3787185.1924659698</v>
      </c>
      <c r="E3655" s="2401">
        <v>2584233.1698851702</v>
      </c>
      <c r="F3655" s="2402">
        <v>2.6412194655274401</v>
      </c>
      <c r="G3655" s="2403">
        <v>1.8400352166851599</v>
      </c>
    </row>
    <row r="3656" spans="1:7" x14ac:dyDescent="0.25">
      <c r="A3656" s="11" t="s">
        <v>1017</v>
      </c>
      <c r="B3656" s="11"/>
      <c r="C3656" s="2404">
        <v>10</v>
      </c>
      <c r="D3656" s="2404">
        <v>2801700.2757344898</v>
      </c>
      <c r="E3656" s="2405">
        <v>2623638.9349490199</v>
      </c>
      <c r="F3656" s="2406">
        <v>1.9539327835260101</v>
      </c>
      <c r="G3656" s="2407">
        <v>1.8605141423634399</v>
      </c>
    </row>
    <row r="3657" spans="1:7" x14ac:dyDescent="0.25">
      <c r="A3657" s="6" t="s">
        <v>6650</v>
      </c>
      <c r="B3657" s="6"/>
      <c r="C3657" s="2400">
        <v>10</v>
      </c>
      <c r="D3657" s="2400">
        <v>2690175.6299943998</v>
      </c>
      <c r="E3657" s="2401">
        <v>1104990.2874950899</v>
      </c>
      <c r="F3657" s="2402">
        <v>1.8761544203763201</v>
      </c>
      <c r="G3657" s="2403">
        <v>0.70055882755262799</v>
      </c>
    </row>
    <row r="3658" spans="1:7" x14ac:dyDescent="0.25">
      <c r="A3658" s="11" t="s">
        <v>6651</v>
      </c>
      <c r="B3658" s="11"/>
      <c r="C3658" s="2404">
        <v>2</v>
      </c>
      <c r="D3658" s="2404">
        <v>2440783.78352853</v>
      </c>
      <c r="E3658" s="2405">
        <v>1941986.47114453</v>
      </c>
      <c r="F3658" s="2406">
        <v>1.7022261422609799</v>
      </c>
      <c r="G3658" s="2407">
        <v>1.44075770972021</v>
      </c>
    </row>
    <row r="3659" spans="1:7" x14ac:dyDescent="0.25">
      <c r="A3659" s="6" t="s">
        <v>1073</v>
      </c>
      <c r="B3659" s="6"/>
      <c r="C3659" s="2400">
        <v>1</v>
      </c>
      <c r="D3659" s="2400">
        <v>2426250.3191116499</v>
      </c>
      <c r="E3659" s="2401">
        <v>2386174.0306316498</v>
      </c>
      <c r="F3659" s="2402">
        <v>1.6920903640593301</v>
      </c>
      <c r="G3659" s="2403">
        <v>1.68824543675903</v>
      </c>
    </row>
    <row r="3660" spans="1:7" x14ac:dyDescent="0.25">
      <c r="A3660" s="11" t="s">
        <v>992</v>
      </c>
      <c r="B3660" s="11"/>
      <c r="C3660" s="2404">
        <v>31</v>
      </c>
      <c r="D3660" s="2404">
        <v>1994430.73838971</v>
      </c>
      <c r="E3660" s="2405">
        <v>1432530.27867124</v>
      </c>
      <c r="F3660" s="2406">
        <v>1.3909352252856599</v>
      </c>
      <c r="G3660" s="2407">
        <v>1.0277572360093901</v>
      </c>
    </row>
    <row r="3661" spans="1:7" x14ac:dyDescent="0.25">
      <c r="A3661" s="6" t="s">
        <v>6652</v>
      </c>
      <c r="B3661" s="6"/>
      <c r="C3661" s="2400">
        <v>1</v>
      </c>
      <c r="D3661" s="2400">
        <v>1919402.86319479</v>
      </c>
      <c r="E3661" s="2401">
        <v>1917674.9794759899</v>
      </c>
      <c r="F3661" s="2402">
        <v>1.3386100617800001</v>
      </c>
      <c r="G3661" s="2403">
        <v>1.36884563646625</v>
      </c>
    </row>
    <row r="3662" spans="1:7" x14ac:dyDescent="0.25">
      <c r="A3662" s="11" t="s">
        <v>6653</v>
      </c>
      <c r="B3662" s="11"/>
      <c r="C3662" s="2404">
        <v>5</v>
      </c>
      <c r="D3662" s="2404">
        <v>1809645.13915644</v>
      </c>
      <c r="E3662" s="2405">
        <v>1749913.61298574</v>
      </c>
      <c r="F3662" s="2406">
        <v>1.26206396686001</v>
      </c>
      <c r="G3662" s="2407">
        <v>1.2383501390771099</v>
      </c>
    </row>
    <row r="3663" spans="1:7" x14ac:dyDescent="0.25">
      <c r="A3663" s="6" t="s">
        <v>1179</v>
      </c>
      <c r="B3663" s="6"/>
      <c r="C3663" s="2400">
        <v>3</v>
      </c>
      <c r="D3663" s="2400">
        <v>1798980.3932982101</v>
      </c>
      <c r="E3663" s="2401">
        <v>1859089.79440275</v>
      </c>
      <c r="F3663" s="2402">
        <v>1.2546262702795301</v>
      </c>
      <c r="G3663" s="2403">
        <v>1.33088916903581</v>
      </c>
    </row>
    <row r="3664" spans="1:7" x14ac:dyDescent="0.25">
      <c r="A3664" s="11" t="s">
        <v>1013</v>
      </c>
      <c r="B3664" s="11"/>
      <c r="C3664" s="2404">
        <v>10</v>
      </c>
      <c r="D3664" s="2404">
        <v>1784503.0577771601</v>
      </c>
      <c r="E3664" s="2405">
        <v>1205634.36568491</v>
      </c>
      <c r="F3664" s="2406">
        <v>1.24452963691097</v>
      </c>
      <c r="G3664" s="2407">
        <v>0.86711808121197798</v>
      </c>
    </row>
    <row r="3665" spans="1:7" x14ac:dyDescent="0.25">
      <c r="A3665" s="6" t="s">
        <v>1015</v>
      </c>
      <c r="B3665" s="6"/>
      <c r="C3665" s="2400">
        <v>4</v>
      </c>
      <c r="D3665" s="2400">
        <v>1585407.3623820301</v>
      </c>
      <c r="E3665" s="2401">
        <v>1529010.19292014</v>
      </c>
      <c r="F3665" s="2402">
        <v>1.1056783794582099</v>
      </c>
      <c r="G3665" s="2403">
        <v>1.0912555553048999</v>
      </c>
    </row>
    <row r="3666" spans="1:7" x14ac:dyDescent="0.25">
      <c r="A3666" s="11" t="s">
        <v>6654</v>
      </c>
      <c r="B3666" s="11"/>
      <c r="C3666" s="2404">
        <v>1</v>
      </c>
      <c r="D3666" s="2404">
        <v>1583235.5977940999</v>
      </c>
      <c r="E3666" s="2405">
        <v>1553032.9833173801</v>
      </c>
      <c r="F3666" s="2406">
        <v>1.10416376989658</v>
      </c>
      <c r="G3666" s="2407">
        <v>1.1232011752217199</v>
      </c>
    </row>
    <row r="3667" spans="1:7" x14ac:dyDescent="0.25">
      <c r="A3667" s="6" t="s">
        <v>6655</v>
      </c>
      <c r="B3667" s="6"/>
      <c r="C3667" s="2400">
        <v>1</v>
      </c>
      <c r="D3667" s="2400">
        <v>1537461.8856474899</v>
      </c>
      <c r="E3667" s="2401">
        <v>1579822.33265513</v>
      </c>
      <c r="F3667" s="2402">
        <v>1.0722407417405799</v>
      </c>
      <c r="G3667" s="2403">
        <v>1.1155756220245401</v>
      </c>
    </row>
    <row r="3668" spans="1:7" x14ac:dyDescent="0.25">
      <c r="A3668" s="11" t="s">
        <v>6656</v>
      </c>
      <c r="B3668" s="11"/>
      <c r="C3668" s="2404">
        <v>2</v>
      </c>
      <c r="D3668" s="2404">
        <v>1486915.26714091</v>
      </c>
      <c r="E3668" s="2405">
        <v>1242878.2407667299</v>
      </c>
      <c r="F3668" s="2406">
        <v>1.03698904267349</v>
      </c>
      <c r="G3668" s="2407">
        <v>0.89351010290130295</v>
      </c>
    </row>
    <row r="3669" spans="1:7" x14ac:dyDescent="0.25">
      <c r="A3669" s="6" t="s">
        <v>6657</v>
      </c>
      <c r="B3669" s="6"/>
      <c r="C3669" s="2400">
        <v>1</v>
      </c>
      <c r="D3669" s="2400">
        <v>1442706.64956596</v>
      </c>
      <c r="E3669" s="2401">
        <v>1477970.87786006</v>
      </c>
      <c r="F3669" s="2402">
        <v>1.00615752656086</v>
      </c>
      <c r="G3669" s="2403">
        <v>1.0416353717269</v>
      </c>
    </row>
    <row r="3670" spans="1:7" x14ac:dyDescent="0.25">
      <c r="A3670" s="11" t="s">
        <v>6658</v>
      </c>
      <c r="B3670" s="11"/>
      <c r="C3670" s="2404">
        <v>5</v>
      </c>
      <c r="D3670" s="2404">
        <v>1208600.2402765499</v>
      </c>
      <c r="E3670" s="2405">
        <v>1208705.05526513</v>
      </c>
      <c r="F3670" s="2406">
        <v>0.84288945969949602</v>
      </c>
      <c r="G3670" s="2407">
        <v>0.87922584945612703</v>
      </c>
    </row>
    <row r="3671" spans="1:7" x14ac:dyDescent="0.25">
      <c r="A3671" s="6" t="s">
        <v>3089</v>
      </c>
      <c r="B3671" s="6"/>
      <c r="C3671" s="2400">
        <v>1</v>
      </c>
      <c r="D3671" s="2400">
        <v>927062.23900335201</v>
      </c>
      <c r="E3671" s="2401">
        <v>976513.28853036906</v>
      </c>
      <c r="F3671" s="2402">
        <v>0.64654214330003501</v>
      </c>
      <c r="G3671" s="2403">
        <v>0.69422600407144297</v>
      </c>
    </row>
    <row r="3672" spans="1:7" x14ac:dyDescent="0.25">
      <c r="A3672" s="11" t="s">
        <v>6659</v>
      </c>
      <c r="B3672" s="11"/>
      <c r="C3672" s="2404">
        <v>1</v>
      </c>
      <c r="D3672" s="2404">
        <v>873257.25189721503</v>
      </c>
      <c r="E3672" s="2405">
        <v>895365.46584875404</v>
      </c>
      <c r="F3672" s="2406">
        <v>0.60901802655763504</v>
      </c>
      <c r="G3672" s="2407">
        <v>0.65038505595100904</v>
      </c>
    </row>
    <row r="3673" spans="1:7" x14ac:dyDescent="0.25">
      <c r="A3673" s="6" t="s">
        <v>6660</v>
      </c>
      <c r="B3673" s="6"/>
      <c r="C3673" s="2400">
        <v>1</v>
      </c>
      <c r="D3673" s="2400">
        <v>846799.59564374096</v>
      </c>
      <c r="E3673" s="2401">
        <v>939372.44288271805</v>
      </c>
      <c r="F3673" s="2402">
        <v>0.59056620200785404</v>
      </c>
      <c r="G3673" s="2403">
        <v>0.67109594904830505</v>
      </c>
    </row>
    <row r="3674" spans="1:7" x14ac:dyDescent="0.25">
      <c r="A3674" s="11" t="s">
        <v>6661</v>
      </c>
      <c r="B3674" s="11"/>
      <c r="C3674" s="2404">
        <v>2</v>
      </c>
      <c r="D3674" s="2404">
        <v>807118.33490057604</v>
      </c>
      <c r="E3674" s="2405">
        <v>839197.98808476201</v>
      </c>
      <c r="F3674" s="2406">
        <v>0.56289210819802005</v>
      </c>
      <c r="G3674" s="2407">
        <v>0.60285256821975997</v>
      </c>
    </row>
    <row r="3675" spans="1:7" x14ac:dyDescent="0.25">
      <c r="A3675" s="6" t="s">
        <v>6662</v>
      </c>
      <c r="B3675" s="6"/>
      <c r="C3675" s="2400">
        <v>9</v>
      </c>
      <c r="D3675" s="2400">
        <v>801647.59557917702</v>
      </c>
      <c r="E3675" s="2401">
        <v>617674.59335416998</v>
      </c>
      <c r="F3675" s="2402">
        <v>0.55907676185180799</v>
      </c>
      <c r="G3675" s="2403">
        <v>0.43581056827089898</v>
      </c>
    </row>
    <row r="3676" spans="1:7" x14ac:dyDescent="0.25">
      <c r="A3676" s="11" t="s">
        <v>6663</v>
      </c>
      <c r="B3676" s="11"/>
      <c r="C3676" s="2404">
        <v>1</v>
      </c>
      <c r="D3676" s="2404">
        <v>581564.04417321295</v>
      </c>
      <c r="E3676" s="2405">
        <v>591010.03310916596</v>
      </c>
      <c r="F3676" s="2406">
        <v>0.40558837127290798</v>
      </c>
      <c r="G3676" s="2407">
        <v>0.42559799150885003</v>
      </c>
    </row>
    <row r="3677" spans="1:7" x14ac:dyDescent="0.25">
      <c r="A3677" s="6" t="s">
        <v>6664</v>
      </c>
      <c r="B3677" s="6"/>
      <c r="C3677" s="2400">
        <v>4</v>
      </c>
      <c r="D3677" s="2400">
        <v>578268.65884224698</v>
      </c>
      <c r="E3677" s="2401">
        <v>563949.33046329895</v>
      </c>
      <c r="F3677" s="2402">
        <v>0.40329013777223999</v>
      </c>
      <c r="G3677" s="2403">
        <v>0.40052966197401502</v>
      </c>
    </row>
    <row r="3678" spans="1:7" x14ac:dyDescent="0.25">
      <c r="A3678" s="11" t="s">
        <v>6665</v>
      </c>
      <c r="B3678" s="11"/>
      <c r="C3678" s="2404">
        <v>1</v>
      </c>
      <c r="D3678" s="2404">
        <v>543772.47876499104</v>
      </c>
      <c r="E3678" s="2405">
        <v>539198.71534520295</v>
      </c>
      <c r="F3678" s="2406">
        <v>0.37923216920824099</v>
      </c>
      <c r="G3678" s="2407">
        <v>0.37872967733223001</v>
      </c>
    </row>
    <row r="3679" spans="1:7" x14ac:dyDescent="0.25">
      <c r="A3679" s="6" t="s">
        <v>6666</v>
      </c>
      <c r="B3679" s="6"/>
      <c r="C3679" s="2400">
        <v>2</v>
      </c>
      <c r="D3679" s="2400">
        <v>522290.30040405301</v>
      </c>
      <c r="E3679" s="2401">
        <v>543418.99034319003</v>
      </c>
      <c r="F3679" s="2402">
        <v>0.36425029090936201</v>
      </c>
      <c r="G3679" s="2403">
        <v>0.38773741176330001</v>
      </c>
    </row>
    <row r="3680" spans="1:7" x14ac:dyDescent="0.25">
      <c r="A3680" s="11" t="s">
        <v>6667</v>
      </c>
      <c r="B3680" s="11"/>
      <c r="C3680" s="2404">
        <v>7</v>
      </c>
      <c r="D3680" s="2404">
        <v>456101.28047580598</v>
      </c>
      <c r="E3680" s="2405">
        <v>465680.44402629399</v>
      </c>
      <c r="F3680" s="2406">
        <v>0.31808943028220099</v>
      </c>
      <c r="G3680" s="2407">
        <v>0.33423243922798301</v>
      </c>
    </row>
    <row r="3681" spans="1:7" x14ac:dyDescent="0.25">
      <c r="A3681" s="6" t="s">
        <v>6668</v>
      </c>
      <c r="B3681" s="6"/>
      <c r="C3681" s="2400">
        <v>1</v>
      </c>
      <c r="D3681" s="2400">
        <v>453611.58242627297</v>
      </c>
      <c r="E3681" s="2401">
        <v>493319.75151624501</v>
      </c>
      <c r="F3681" s="2402">
        <v>0.31635309085924601</v>
      </c>
      <c r="G3681" s="2403">
        <v>0.35187717606464203</v>
      </c>
    </row>
    <row r="3682" spans="1:7" x14ac:dyDescent="0.25">
      <c r="A3682" s="11" t="s">
        <v>6669</v>
      </c>
      <c r="B3682" s="11"/>
      <c r="C3682" s="2404">
        <v>1</v>
      </c>
      <c r="D3682" s="2404">
        <v>449433.63001841202</v>
      </c>
      <c r="E3682" s="2405">
        <v>456472.55160331202</v>
      </c>
      <c r="F3682" s="2406">
        <v>0.31343934657030997</v>
      </c>
      <c r="G3682" s="2407">
        <v>0.33487246659042602</v>
      </c>
    </row>
    <row r="3683" spans="1:7" x14ac:dyDescent="0.25">
      <c r="A3683" s="6" t="s">
        <v>6670</v>
      </c>
      <c r="B3683" s="6"/>
      <c r="C3683" s="2400">
        <v>1</v>
      </c>
      <c r="D3683" s="2400">
        <v>433035.72664868401</v>
      </c>
      <c r="E3683" s="2401">
        <v>448971.23761278199</v>
      </c>
      <c r="F3683" s="2402">
        <v>0.30200329066786202</v>
      </c>
      <c r="G3683" s="2403">
        <v>0.315329991361118</v>
      </c>
    </row>
    <row r="3684" spans="1:7" x14ac:dyDescent="0.25">
      <c r="A3684" s="11" t="s">
        <v>6671</v>
      </c>
      <c r="B3684" s="11"/>
      <c r="C3684" s="2404">
        <v>4</v>
      </c>
      <c r="D3684" s="2404">
        <v>413009.585022896</v>
      </c>
      <c r="E3684" s="2405">
        <v>420382.50217423902</v>
      </c>
      <c r="F3684" s="2406">
        <v>0.288036866425746</v>
      </c>
      <c r="G3684" s="2407">
        <v>0.30323263556595498</v>
      </c>
    </row>
    <row r="3685" spans="1:7" x14ac:dyDescent="0.25">
      <c r="A3685" s="6" t="s">
        <v>1027</v>
      </c>
      <c r="B3685" s="6"/>
      <c r="C3685" s="2400">
        <v>2</v>
      </c>
      <c r="D3685" s="2400">
        <v>386816.784593452</v>
      </c>
      <c r="E3685" s="2401">
        <v>396494.87742551701</v>
      </c>
      <c r="F3685" s="2402">
        <v>0.26976975488112198</v>
      </c>
      <c r="G3685" s="2403">
        <v>0.28164243473193201</v>
      </c>
    </row>
    <row r="3686" spans="1:7" x14ac:dyDescent="0.25">
      <c r="A3686" s="11" t="s">
        <v>6672</v>
      </c>
      <c r="B3686" s="11"/>
      <c r="C3686" s="2404">
        <v>9</v>
      </c>
      <c r="D3686" s="2404">
        <v>368318.34597237798</v>
      </c>
      <c r="E3686" s="2405">
        <v>194231.683651556</v>
      </c>
      <c r="F3686" s="2406">
        <v>0.256868765443098</v>
      </c>
      <c r="G3686" s="2407">
        <v>0.138641885315159</v>
      </c>
    </row>
    <row r="3687" spans="1:7" x14ac:dyDescent="0.25">
      <c r="A3687" s="6" t="s">
        <v>6673</v>
      </c>
      <c r="B3687" s="6"/>
      <c r="C3687" s="2400">
        <v>1</v>
      </c>
      <c r="D3687" s="2400">
        <v>348922.07773938001</v>
      </c>
      <c r="E3687" s="2401">
        <v>370538.11109703698</v>
      </c>
      <c r="F3687" s="2402">
        <v>0.24334162097773099</v>
      </c>
      <c r="G3687" s="2403">
        <v>0.26681180151286898</v>
      </c>
    </row>
    <row r="3688" spans="1:7" x14ac:dyDescent="0.25">
      <c r="A3688" s="11" t="s">
        <v>6674</v>
      </c>
      <c r="B3688" s="11"/>
      <c r="C3688" s="2404">
        <v>1</v>
      </c>
      <c r="D3688" s="2404">
        <v>315976.248895108</v>
      </c>
      <c r="E3688" s="2405">
        <v>333107.08411623503</v>
      </c>
      <c r="F3688" s="2406">
        <v>0.220364882310571</v>
      </c>
      <c r="G3688" s="2407">
        <v>0.23907991726008401</v>
      </c>
    </row>
    <row r="3689" spans="1:7" x14ac:dyDescent="0.25">
      <c r="A3689" s="6" t="s">
        <v>6675</v>
      </c>
      <c r="B3689" s="6"/>
      <c r="C3689" s="2400">
        <v>1</v>
      </c>
      <c r="D3689" s="2400">
        <v>310479.15103418799</v>
      </c>
      <c r="E3689" s="2401">
        <v>318559.27703289402</v>
      </c>
      <c r="F3689" s="2402">
        <v>0.21653115326477401</v>
      </c>
      <c r="G3689" s="2403">
        <v>0.22601433331006801</v>
      </c>
    </row>
    <row r="3690" spans="1:7" x14ac:dyDescent="0.25">
      <c r="A3690" s="11" t="s">
        <v>6676</v>
      </c>
      <c r="B3690" s="11"/>
      <c r="C3690" s="2404">
        <v>1</v>
      </c>
      <c r="D3690" s="2404">
        <v>278874.68325082603</v>
      </c>
      <c r="E3690" s="2405">
        <v>277050.27917358401</v>
      </c>
      <c r="F3690" s="2406">
        <v>0.19448989273357201</v>
      </c>
      <c r="G3690" s="2407">
        <v>0.197386107659375</v>
      </c>
    </row>
    <row r="3691" spans="1:7" x14ac:dyDescent="0.25">
      <c r="A3691" s="6" t="s">
        <v>6677</v>
      </c>
      <c r="B3691" s="6"/>
      <c r="C3691" s="2400">
        <v>1</v>
      </c>
      <c r="D3691" s="2400">
        <v>262486.94055266201</v>
      </c>
      <c r="E3691" s="2401">
        <v>283197.63473552698</v>
      </c>
      <c r="F3691" s="2402">
        <v>0.18306092298143201</v>
      </c>
      <c r="G3691" s="2403">
        <v>0.204237923185909</v>
      </c>
    </row>
    <row r="3692" spans="1:7" x14ac:dyDescent="0.25">
      <c r="A3692" s="11" t="s">
        <v>6678</v>
      </c>
      <c r="B3692" s="11"/>
      <c r="C3692" s="2404">
        <v>1</v>
      </c>
      <c r="D3692" s="2404">
        <v>255460.36905965701</v>
      </c>
      <c r="E3692" s="2405">
        <v>271136.71389351302</v>
      </c>
      <c r="F3692" s="2406">
        <v>0.17816052427894399</v>
      </c>
      <c r="G3692" s="2407">
        <v>0.192870898146771</v>
      </c>
    </row>
    <row r="3693" spans="1:7" x14ac:dyDescent="0.25">
      <c r="A3693" s="6" t="s">
        <v>6679</v>
      </c>
      <c r="B3693" s="6"/>
      <c r="C3693" s="2400">
        <v>1</v>
      </c>
      <c r="D3693" s="2400">
        <v>255460.36905965701</v>
      </c>
      <c r="E3693" s="2401">
        <v>271136.71389351302</v>
      </c>
      <c r="F3693" s="2402">
        <v>0.17816052427894399</v>
      </c>
      <c r="G3693" s="2403">
        <v>0.192870898146771</v>
      </c>
    </row>
    <row r="3694" spans="1:7" x14ac:dyDescent="0.25">
      <c r="A3694" s="11" t="s">
        <v>6680</v>
      </c>
      <c r="B3694" s="11"/>
      <c r="C3694" s="2404">
        <v>2</v>
      </c>
      <c r="D3694" s="2404">
        <v>184392.22742643199</v>
      </c>
      <c r="E3694" s="2405">
        <v>191088.532482879</v>
      </c>
      <c r="F3694" s="2406">
        <v>0.128596917135055</v>
      </c>
      <c r="G3694" s="2407">
        <v>0.13688716366904599</v>
      </c>
    </row>
    <row r="3695" spans="1:7" x14ac:dyDescent="0.25">
      <c r="A3695" s="6" t="s">
        <v>3058</v>
      </c>
      <c r="B3695" s="6"/>
      <c r="C3695" s="2400">
        <v>4</v>
      </c>
      <c r="D3695" s="2400">
        <v>183435.00862446401</v>
      </c>
      <c r="E3695" s="2401">
        <v>183001.123002104</v>
      </c>
      <c r="F3695" s="2402">
        <v>0.12792934351400401</v>
      </c>
      <c r="G3695" s="2403">
        <v>0.13167788554913301</v>
      </c>
    </row>
    <row r="3696" spans="1:7" x14ac:dyDescent="0.25">
      <c r="A3696" s="11" t="s">
        <v>6681</v>
      </c>
      <c r="B3696" s="11"/>
      <c r="C3696" s="2404">
        <v>1</v>
      </c>
      <c r="D3696" s="2404">
        <v>148255.73287612601</v>
      </c>
      <c r="E3696" s="2405">
        <v>158246.872707673</v>
      </c>
      <c r="F3696" s="2406">
        <v>0.103394977443258</v>
      </c>
      <c r="G3696" s="2407">
        <v>0.110604917495268</v>
      </c>
    </row>
    <row r="3697" spans="1:7" x14ac:dyDescent="0.25">
      <c r="A3697" s="6" t="s">
        <v>6682</v>
      </c>
      <c r="B3697" s="6"/>
      <c r="C3697" s="2400">
        <v>3</v>
      </c>
      <c r="D3697" s="2400">
        <v>148003.39842098899</v>
      </c>
      <c r="E3697" s="2401">
        <v>153114.21555093801</v>
      </c>
      <c r="F3697" s="2402">
        <v>0.103218996961486</v>
      </c>
      <c r="G3697" s="2403">
        <v>0.11046898555293599</v>
      </c>
    </row>
    <row r="3698" spans="1:7" x14ac:dyDescent="0.25">
      <c r="A3698" s="11" t="s">
        <v>1177</v>
      </c>
      <c r="B3698" s="11"/>
      <c r="C3698" s="2404">
        <v>5</v>
      </c>
      <c r="D3698" s="2404">
        <v>91840.112396487806</v>
      </c>
      <c r="E3698" s="2405">
        <v>52921.004378682199</v>
      </c>
      <c r="F3698" s="2406">
        <v>6.4050179817028E-2</v>
      </c>
      <c r="G3698" s="2407">
        <v>3.8818908774455999E-2</v>
      </c>
    </row>
    <row r="3699" spans="1:7" x14ac:dyDescent="0.25">
      <c r="A3699" s="6" t="s">
        <v>6683</v>
      </c>
      <c r="B3699" s="6"/>
      <c r="C3699" s="2400">
        <v>1</v>
      </c>
      <c r="D3699" s="2400">
        <v>89871.248828827505</v>
      </c>
      <c r="E3699" s="2401">
        <v>92879.705122194893</v>
      </c>
      <c r="F3699" s="2402">
        <v>6.2677075383102507E-2</v>
      </c>
      <c r="G3699" s="2403">
        <v>6.5983208566097504E-2</v>
      </c>
    </row>
    <row r="3700" spans="1:7" x14ac:dyDescent="0.25">
      <c r="A3700" s="11" t="s">
        <v>6684</v>
      </c>
      <c r="B3700" s="11"/>
      <c r="C3700" s="2404">
        <v>1</v>
      </c>
      <c r="D3700" s="2404">
        <v>80789.721686904901</v>
      </c>
      <c r="E3700" s="2405">
        <v>82963.713148633993</v>
      </c>
      <c r="F3700" s="2406">
        <v>5.6343530799204497E-2</v>
      </c>
      <c r="G3700" s="2407">
        <v>5.9066128638549903E-2</v>
      </c>
    </row>
    <row r="3701" spans="1:7" x14ac:dyDescent="0.25">
      <c r="A3701" s="6" t="s">
        <v>6685</v>
      </c>
      <c r="B3701" s="6"/>
      <c r="C3701" s="2400">
        <v>2</v>
      </c>
      <c r="D3701" s="2400">
        <v>77864.700845756597</v>
      </c>
      <c r="E3701" s="2401">
        <v>83610.837388233398</v>
      </c>
      <c r="F3701" s="2402">
        <v>5.43035930644237E-2</v>
      </c>
      <c r="G3701" s="2403">
        <v>5.8812348915443298E-2</v>
      </c>
    </row>
    <row r="3702" spans="1:7" x14ac:dyDescent="0.25">
      <c r="A3702" s="11" t="s">
        <v>6686</v>
      </c>
      <c r="B3702" s="11"/>
      <c r="C3702" s="2404">
        <v>3</v>
      </c>
      <c r="D3702" s="2404">
        <v>72502.072187888596</v>
      </c>
      <c r="E3702" s="2405">
        <v>76825.773626497801</v>
      </c>
      <c r="F3702" s="2406">
        <v>5.0563644137253901E-2</v>
      </c>
      <c r="G3702" s="2407">
        <v>5.5715771171816003E-2</v>
      </c>
    </row>
    <row r="3703" spans="1:7" x14ac:dyDescent="0.25">
      <c r="A3703" s="6" t="s">
        <v>6687</v>
      </c>
      <c r="B3703" s="6"/>
      <c r="C3703" s="2400">
        <v>1</v>
      </c>
      <c r="D3703" s="2400">
        <v>72089.638714245695</v>
      </c>
      <c r="E3703" s="2401">
        <v>73753.723346567407</v>
      </c>
      <c r="F3703" s="2402">
        <v>5.0276009056458897E-2</v>
      </c>
      <c r="G3703" s="2403">
        <v>5.2910191820904201E-2</v>
      </c>
    </row>
    <row r="3704" spans="1:7" x14ac:dyDescent="0.25">
      <c r="A3704" s="11" t="s">
        <v>6688</v>
      </c>
      <c r="B3704" s="11"/>
      <c r="C3704" s="2404">
        <v>1</v>
      </c>
      <c r="D3704" s="2404">
        <v>65424.914829617999</v>
      </c>
      <c r="E3704" s="2405">
        <v>67857.903128696606</v>
      </c>
      <c r="F3704" s="2406">
        <v>4.5627966364629902E-2</v>
      </c>
      <c r="G3704" s="2407">
        <v>4.7946397579314799E-2</v>
      </c>
    </row>
    <row r="3705" spans="1:7" x14ac:dyDescent="0.25">
      <c r="A3705" s="6" t="s">
        <v>6689</v>
      </c>
      <c r="B3705" s="6"/>
      <c r="C3705" s="2400">
        <v>5</v>
      </c>
      <c r="D3705" s="2400">
        <v>54391.807159462303</v>
      </c>
      <c r="E3705" s="2401">
        <v>42851.931770879499</v>
      </c>
      <c r="F3705" s="2402">
        <v>3.7933370705128901E-2</v>
      </c>
      <c r="G3705" s="2403">
        <v>3.0210969388060199E-2</v>
      </c>
    </row>
    <row r="3706" spans="1:7" x14ac:dyDescent="0.25">
      <c r="A3706" s="11" t="s">
        <v>4322</v>
      </c>
      <c r="B3706" s="11"/>
      <c r="C3706" s="2404">
        <v>2</v>
      </c>
      <c r="D3706" s="2404">
        <v>47965.437678134498</v>
      </c>
      <c r="E3706" s="2405">
        <v>49285.575198675702</v>
      </c>
      <c r="F3706" s="2406">
        <v>3.3451558672139198E-2</v>
      </c>
      <c r="G3706" s="2407">
        <v>3.5324013559791E-2</v>
      </c>
    </row>
    <row r="3707" spans="1:7" x14ac:dyDescent="0.25">
      <c r="A3707" s="6" t="s">
        <v>6690</v>
      </c>
      <c r="B3707" s="6"/>
      <c r="C3707" s="2400">
        <v>1</v>
      </c>
      <c r="D3707" s="2400">
        <v>47328.384730760299</v>
      </c>
      <c r="E3707" s="2401">
        <v>49640.465866386498</v>
      </c>
      <c r="F3707" s="2402">
        <v>3.3007271804804603E-2</v>
      </c>
      <c r="G3707" s="2403">
        <v>3.50076503335384E-2</v>
      </c>
    </row>
    <row r="3708" spans="1:7" x14ac:dyDescent="0.25">
      <c r="A3708" s="11" t="s">
        <v>1021</v>
      </c>
      <c r="B3708" s="11"/>
      <c r="C3708" s="2404">
        <v>4</v>
      </c>
      <c r="D3708" s="2404">
        <v>46171.599695741497</v>
      </c>
      <c r="E3708" s="2405">
        <v>28661.1266846978</v>
      </c>
      <c r="F3708" s="2406">
        <v>3.2200518768802901E-2</v>
      </c>
      <c r="G3708" s="2407">
        <v>1.9840192507898001E-2</v>
      </c>
    </row>
    <row r="3709" spans="1:7" x14ac:dyDescent="0.25">
      <c r="A3709" s="6" t="s">
        <v>6691</v>
      </c>
      <c r="B3709" s="6"/>
      <c r="C3709" s="2400">
        <v>2</v>
      </c>
      <c r="D3709" s="2400">
        <v>40410.118780915203</v>
      </c>
      <c r="E3709" s="2401">
        <v>40917.157180867704</v>
      </c>
      <c r="F3709" s="2402">
        <v>2.81824064322907E-2</v>
      </c>
      <c r="G3709" s="2403">
        <v>2.93651451275025E-2</v>
      </c>
    </row>
    <row r="3710" spans="1:7" x14ac:dyDescent="0.25">
      <c r="A3710" s="11" t="s">
        <v>6692</v>
      </c>
      <c r="B3710" s="11"/>
      <c r="C3710" s="2404">
        <v>1</v>
      </c>
      <c r="D3710" s="2404">
        <v>35387.388381012497</v>
      </c>
      <c r="E3710" s="2405">
        <v>36146.2543473447</v>
      </c>
      <c r="F3710" s="2406">
        <v>2.4679505827189498E-2</v>
      </c>
      <c r="G3710" s="2407">
        <v>2.60645192979162E-2</v>
      </c>
    </row>
    <row r="3711" spans="1:7" x14ac:dyDescent="0.25">
      <c r="A3711" s="6" t="s">
        <v>6693</v>
      </c>
      <c r="B3711" s="6"/>
      <c r="C3711" s="2400">
        <v>1</v>
      </c>
      <c r="D3711" s="2400">
        <v>30220.665147211799</v>
      </c>
      <c r="E3711" s="2401">
        <v>31543.605949853001</v>
      </c>
      <c r="F3711" s="2402">
        <v>2.1076183231490998E-2</v>
      </c>
      <c r="G3711" s="2403">
        <v>2.2807371992469801E-2</v>
      </c>
    </row>
    <row r="3712" spans="1:7" x14ac:dyDescent="0.25">
      <c r="A3712" s="11" t="s">
        <v>6694</v>
      </c>
      <c r="B3712" s="11"/>
      <c r="C3712" s="2404">
        <v>2</v>
      </c>
      <c r="D3712" s="2404">
        <v>29594.985638999799</v>
      </c>
      <c r="E3712" s="2405">
        <v>29558.754163177298</v>
      </c>
      <c r="F3712" s="2406">
        <v>2.06398283102797E-2</v>
      </c>
      <c r="G3712" s="2407">
        <v>2.12927411366686E-2</v>
      </c>
    </row>
    <row r="3713" spans="1:7" x14ac:dyDescent="0.25">
      <c r="A3713" s="6" t="s">
        <v>6695</v>
      </c>
      <c r="B3713" s="6"/>
      <c r="C3713" s="2400">
        <v>1</v>
      </c>
      <c r="D3713" s="2400">
        <v>27073.797096803599</v>
      </c>
      <c r="E3713" s="2401">
        <v>27271.363671218602</v>
      </c>
      <c r="F3713" s="2402">
        <v>1.8881527114140598E-2</v>
      </c>
      <c r="G3713" s="2403">
        <v>1.9386231390149701E-2</v>
      </c>
    </row>
    <row r="3714" spans="1:7" x14ac:dyDescent="0.25">
      <c r="A3714" s="11" t="s">
        <v>1109</v>
      </c>
      <c r="B3714" s="11"/>
      <c r="C3714" s="2404">
        <v>1</v>
      </c>
      <c r="D3714" s="2404">
        <v>25682.601061614299</v>
      </c>
      <c r="E3714" s="2405">
        <v>26775.6946851666</v>
      </c>
      <c r="F3714" s="2406">
        <v>1.79112935866605E-2</v>
      </c>
      <c r="G3714" s="2407">
        <v>1.91701074111599E-2</v>
      </c>
    </row>
    <row r="3715" spans="1:7" x14ac:dyDescent="0.25">
      <c r="A3715" s="6" t="s">
        <v>1025</v>
      </c>
      <c r="B3715" s="6"/>
      <c r="C3715" s="2400">
        <v>1</v>
      </c>
      <c r="D3715" s="2400">
        <v>24595.807001204299</v>
      </c>
      <c r="E3715" s="2401">
        <v>25155.411934020802</v>
      </c>
      <c r="F3715" s="2402">
        <v>1.7153352931134899E-2</v>
      </c>
      <c r="G3715" s="2403">
        <v>1.8171791548613699E-2</v>
      </c>
    </row>
    <row r="3716" spans="1:7" x14ac:dyDescent="0.25">
      <c r="A3716" s="11" t="s">
        <v>6696</v>
      </c>
      <c r="B3716" s="11"/>
      <c r="C3716" s="2404">
        <v>1</v>
      </c>
      <c r="D3716" s="2404">
        <v>24032.356601732499</v>
      </c>
      <c r="E3716" s="2405">
        <v>24149.2740646071</v>
      </c>
      <c r="F3716" s="2406">
        <v>1.67603971903106E-2</v>
      </c>
      <c r="G3716" s="2407">
        <v>1.7320642288477898E-2</v>
      </c>
    </row>
    <row r="3717" spans="1:7" x14ac:dyDescent="0.25">
      <c r="A3717" s="6" t="s">
        <v>6697</v>
      </c>
      <c r="B3717" s="6"/>
      <c r="C3717" s="2400">
        <v>1</v>
      </c>
      <c r="D3717" s="2400">
        <v>22548.129509757298</v>
      </c>
      <c r="E3717" s="2401">
        <v>23111.018890292999</v>
      </c>
      <c r="F3717" s="2402">
        <v>1.5725282906914401E-2</v>
      </c>
      <c r="G3717" s="2403">
        <v>1.6456165860126E-2</v>
      </c>
    </row>
    <row r="3718" spans="1:7" x14ac:dyDescent="0.25">
      <c r="A3718" s="11" t="s">
        <v>6698</v>
      </c>
      <c r="B3718" s="11"/>
      <c r="C3718" s="2404">
        <v>1</v>
      </c>
      <c r="D3718" s="2404">
        <v>22376.586259792999</v>
      </c>
      <c r="E3718" s="2405">
        <v>24967.951801529001</v>
      </c>
      <c r="F3718" s="2406">
        <v>1.56056469905386E-2</v>
      </c>
      <c r="G3718" s="2407">
        <v>1.8123941570226201E-2</v>
      </c>
    </row>
    <row r="3719" spans="1:7" x14ac:dyDescent="0.25">
      <c r="A3719" s="6" t="s">
        <v>6699</v>
      </c>
      <c r="B3719" s="6"/>
      <c r="C3719" s="2400">
        <v>1</v>
      </c>
      <c r="D3719" s="2400">
        <v>21832.063797161201</v>
      </c>
      <c r="E3719" s="2401">
        <v>23087.361319213898</v>
      </c>
      <c r="F3719" s="2402">
        <v>1.5225891775351099E-2</v>
      </c>
      <c r="G3719" s="2403">
        <v>1.6745760050454899E-2</v>
      </c>
    </row>
    <row r="3720" spans="1:7" x14ac:dyDescent="0.25">
      <c r="A3720" s="11" t="s">
        <v>6700</v>
      </c>
      <c r="B3720" s="11"/>
      <c r="C3720" s="2404">
        <v>2</v>
      </c>
      <c r="D3720" s="2404">
        <v>19819.586682147299</v>
      </c>
      <c r="E3720" s="2405">
        <v>20510.8318868776</v>
      </c>
      <c r="F3720" s="2406">
        <v>1.3822370833022299E-2</v>
      </c>
      <c r="G3720" s="2407">
        <v>1.45700822649442E-2</v>
      </c>
    </row>
    <row r="3721" spans="1:7" x14ac:dyDescent="0.25">
      <c r="A3721" s="6" t="s">
        <v>6701</v>
      </c>
      <c r="B3721" s="6"/>
      <c r="C3721" s="2400">
        <v>1</v>
      </c>
      <c r="D3721" s="2400">
        <v>19336.751562093701</v>
      </c>
      <c r="E3721" s="2401">
        <v>19717.745127600301</v>
      </c>
      <c r="F3721" s="2402">
        <v>1.34856369652773E-2</v>
      </c>
      <c r="G3721" s="2403">
        <v>1.4041977528750299E-2</v>
      </c>
    </row>
    <row r="3722" spans="1:7" x14ac:dyDescent="0.25">
      <c r="A3722" s="11" t="s">
        <v>6702</v>
      </c>
      <c r="B3722" s="11"/>
      <c r="C3722" s="2404">
        <v>2</v>
      </c>
      <c r="D3722" s="2404">
        <v>19147.129775025402</v>
      </c>
      <c r="E3722" s="2405">
        <v>12014.379344286999</v>
      </c>
      <c r="F3722" s="2406">
        <v>1.33533929028297E-2</v>
      </c>
      <c r="G3722" s="2407">
        <v>8.4688440506819496E-3</v>
      </c>
    </row>
    <row r="3723" spans="1:7" x14ac:dyDescent="0.25">
      <c r="A3723" s="6" t="s">
        <v>6703</v>
      </c>
      <c r="B3723" s="6"/>
      <c r="C3723" s="2400">
        <v>1</v>
      </c>
      <c r="D3723" s="2400">
        <v>19004.4972712034</v>
      </c>
      <c r="E3723" s="2401">
        <v>20068.5782833548</v>
      </c>
      <c r="F3723" s="2402">
        <v>1.32539196195425E-2</v>
      </c>
      <c r="G3723" s="2403">
        <v>1.4404697641650799E-2</v>
      </c>
    </row>
    <row r="3724" spans="1:7" x14ac:dyDescent="0.25">
      <c r="A3724" s="11" t="s">
        <v>3071</v>
      </c>
      <c r="B3724" s="11"/>
      <c r="C3724" s="2404">
        <v>1</v>
      </c>
      <c r="D3724" s="2404">
        <v>18963.807870405399</v>
      </c>
      <c r="E3724" s="2405">
        <v>19357.726865943201</v>
      </c>
      <c r="F3724" s="2406">
        <v>1.32255424391389E-2</v>
      </c>
      <c r="G3724" s="2407">
        <v>1.3854393437107799E-2</v>
      </c>
    </row>
    <row r="3725" spans="1:7" x14ac:dyDescent="0.25">
      <c r="A3725" s="6" t="s">
        <v>6704</v>
      </c>
      <c r="B3725" s="6"/>
      <c r="C3725" s="2400">
        <v>1</v>
      </c>
      <c r="D3725" s="2400">
        <v>18370.463967821099</v>
      </c>
      <c r="E3725" s="2401">
        <v>19049.407377839099</v>
      </c>
      <c r="F3725" s="2402">
        <v>1.28117386810403E-2</v>
      </c>
      <c r="G3725" s="2403">
        <v>1.37435163780365E-2</v>
      </c>
    </row>
    <row r="3726" spans="1:7" x14ac:dyDescent="0.25">
      <c r="A3726" s="11" t="s">
        <v>6705</v>
      </c>
      <c r="B3726" s="11"/>
      <c r="C3726" s="2404">
        <v>1</v>
      </c>
      <c r="D3726" s="2404">
        <v>17963.6744333967</v>
      </c>
      <c r="E3726" s="2405">
        <v>17961.573337821101</v>
      </c>
      <c r="F3726" s="2406">
        <v>1.25280397378696E-2</v>
      </c>
      <c r="G3726" s="2407">
        <v>1.2877523821884699E-2</v>
      </c>
    </row>
    <row r="3727" spans="1:7" x14ac:dyDescent="0.25">
      <c r="A3727" s="6" t="s">
        <v>6467</v>
      </c>
      <c r="B3727" s="6"/>
      <c r="C3727" s="2400">
        <v>1</v>
      </c>
      <c r="D3727" s="2400">
        <v>15700.449837603799</v>
      </c>
      <c r="E3727" s="2401">
        <v>16029.6928559793</v>
      </c>
      <c r="F3727" s="2402">
        <v>1.0949645084985899E-2</v>
      </c>
      <c r="G3727" s="2403">
        <v>1.14196216494098E-2</v>
      </c>
    </row>
    <row r="3728" spans="1:7" x14ac:dyDescent="0.25">
      <c r="A3728" s="11" t="s">
        <v>3085</v>
      </c>
      <c r="B3728" s="11"/>
      <c r="C3728" s="2404">
        <v>1</v>
      </c>
      <c r="D3728" s="2404">
        <v>13398.2823972733</v>
      </c>
      <c r="E3728" s="2405">
        <v>13541.3011682182</v>
      </c>
      <c r="F3728" s="2406">
        <v>9.3440913168731602E-3</v>
      </c>
      <c r="G3728" s="2407">
        <v>9.6774379750589404E-3</v>
      </c>
    </row>
    <row r="3729" spans="1:7" x14ac:dyDescent="0.25">
      <c r="A3729" s="6" t="s">
        <v>6706</v>
      </c>
      <c r="B3729" s="6"/>
      <c r="C3729" s="2400">
        <v>1</v>
      </c>
      <c r="D3729" s="2400">
        <v>13388.6741838867</v>
      </c>
      <c r="E3729" s="2401">
        <v>13690.609462279899</v>
      </c>
      <c r="F3729" s="2402">
        <v>9.3373904562244307E-3</v>
      </c>
      <c r="G3729" s="2403">
        <v>9.7007081018302792E-3</v>
      </c>
    </row>
    <row r="3730" spans="1:7" x14ac:dyDescent="0.25">
      <c r="A3730" s="11" t="s">
        <v>6707</v>
      </c>
      <c r="B3730" s="11"/>
      <c r="C3730" s="2404">
        <v>1</v>
      </c>
      <c r="D3730" s="2404">
        <v>12211.493726163901</v>
      </c>
      <c r="E3730" s="2405">
        <v>12589.315812692401</v>
      </c>
      <c r="F3730" s="2406">
        <v>8.5164134557964601E-3</v>
      </c>
      <c r="G3730" s="2407">
        <v>9.1196556702524707E-3</v>
      </c>
    </row>
    <row r="3731" spans="1:7" x14ac:dyDescent="0.25">
      <c r="A3731" s="6" t="s">
        <v>6708</v>
      </c>
      <c r="B3731" s="6"/>
      <c r="C3731" s="2400">
        <v>1</v>
      </c>
      <c r="D3731" s="2400">
        <v>11890.9803012713</v>
      </c>
      <c r="E3731" s="2401">
        <v>12067.454179808399</v>
      </c>
      <c r="F3731" s="2402">
        <v>8.2928843032022605E-3</v>
      </c>
      <c r="G3731" s="2403">
        <v>8.7132460712183897E-3</v>
      </c>
    </row>
    <row r="3732" spans="1:7" x14ac:dyDescent="0.25">
      <c r="A3732" s="11" t="s">
        <v>6709</v>
      </c>
      <c r="B3732" s="11"/>
      <c r="C3732" s="2404">
        <v>1</v>
      </c>
      <c r="D3732" s="2404">
        <v>10997.420120725599</v>
      </c>
      <c r="E3732" s="2405">
        <v>11341.447131143899</v>
      </c>
      <c r="F3732" s="2406">
        <v>7.6697068184643702E-3</v>
      </c>
      <c r="G3732" s="2407">
        <v>8.1875337523401003E-3</v>
      </c>
    </row>
    <row r="3733" spans="1:7" x14ac:dyDescent="0.25">
      <c r="A3733" s="6" t="s">
        <v>6710</v>
      </c>
      <c r="B3733" s="6"/>
      <c r="C3733" s="2400">
        <v>1</v>
      </c>
      <c r="D3733" s="2400">
        <v>10760.393369538901</v>
      </c>
      <c r="E3733" s="2401">
        <v>10676.621315377801</v>
      </c>
      <c r="F3733" s="2402">
        <v>7.5044020770087799E-3</v>
      </c>
      <c r="G3733" s="2403">
        <v>7.5533639422011899E-3</v>
      </c>
    </row>
    <row r="3734" spans="1:7" x14ac:dyDescent="0.25">
      <c r="A3734" s="11" t="s">
        <v>6711</v>
      </c>
      <c r="B3734" s="11"/>
      <c r="C3734" s="2404">
        <v>1</v>
      </c>
      <c r="D3734" s="2404">
        <v>10244.0755553118</v>
      </c>
      <c r="E3734" s="2405">
        <v>10760.327067342199</v>
      </c>
      <c r="F3734" s="2406">
        <v>7.1443170555400403E-3</v>
      </c>
      <c r="G3734" s="2407">
        <v>7.8041339344948196E-3</v>
      </c>
    </row>
    <row r="3735" spans="1:7" x14ac:dyDescent="0.25">
      <c r="A3735" s="6" t="s">
        <v>6712</v>
      </c>
      <c r="B3735" s="6"/>
      <c r="C3735" s="2400">
        <v>1</v>
      </c>
      <c r="D3735" s="2400">
        <v>10118.957761593399</v>
      </c>
      <c r="E3735" s="2401">
        <v>10399.820110933601</v>
      </c>
      <c r="F3735" s="2402">
        <v>7.0570586999385504E-3</v>
      </c>
      <c r="G3735" s="2403">
        <v>7.5380151375130404E-3</v>
      </c>
    </row>
    <row r="3736" spans="1:7" x14ac:dyDescent="0.25">
      <c r="A3736" s="11" t="s">
        <v>6713</v>
      </c>
      <c r="B3736" s="11"/>
      <c r="C3736" s="2404">
        <v>1</v>
      </c>
      <c r="D3736" s="2404">
        <v>9070.8850622039008</v>
      </c>
      <c r="E3736" s="2405">
        <v>9085.0518056956698</v>
      </c>
      <c r="F3736" s="2406">
        <v>6.3261226949018002E-3</v>
      </c>
      <c r="G3736" s="2407">
        <v>6.4499333742400102E-3</v>
      </c>
    </row>
    <row r="3737" spans="1:7" x14ac:dyDescent="0.25">
      <c r="A3737" s="6" t="s">
        <v>6714</v>
      </c>
      <c r="B3737" s="6"/>
      <c r="C3737" s="2400">
        <v>1</v>
      </c>
      <c r="D3737" s="2400">
        <v>8695.8462620645296</v>
      </c>
      <c r="E3737" s="2401">
        <v>9125.1712352366103</v>
      </c>
      <c r="F3737" s="2402">
        <v>6.0645670199306499E-3</v>
      </c>
      <c r="G3737" s="2403">
        <v>6.63058188444205E-3</v>
      </c>
    </row>
    <row r="3738" spans="1:7" x14ac:dyDescent="0.25">
      <c r="A3738" s="11" t="s">
        <v>6715</v>
      </c>
      <c r="B3738" s="11"/>
      <c r="C3738" s="2404">
        <v>1</v>
      </c>
      <c r="D3738" s="2404">
        <v>8429.7055437417002</v>
      </c>
      <c r="E3738" s="2405">
        <v>8620.3879425789801</v>
      </c>
      <c r="F3738" s="2406">
        <v>5.8789579171061902E-3</v>
      </c>
      <c r="G3738" s="2407">
        <v>6.1303995083966598E-3</v>
      </c>
    </row>
    <row r="3739" spans="1:7" x14ac:dyDescent="0.25">
      <c r="A3739" s="6" t="s">
        <v>6716</v>
      </c>
      <c r="B3739" s="6"/>
      <c r="C3739" s="2400">
        <v>1</v>
      </c>
      <c r="D3739" s="2400">
        <v>6789.34906771235</v>
      </c>
      <c r="E3739" s="2401">
        <v>6791.30319772849</v>
      </c>
      <c r="F3739" s="2402">
        <v>4.7349574960252102E-3</v>
      </c>
      <c r="G3739" s="2403">
        <v>4.8324952071030101E-3</v>
      </c>
    </row>
    <row r="3740" spans="1:7" x14ac:dyDescent="0.25">
      <c r="A3740" s="11" t="s">
        <v>6717</v>
      </c>
      <c r="B3740" s="11"/>
      <c r="C3740" s="2404">
        <v>1</v>
      </c>
      <c r="D3740" s="2404">
        <v>6194.8167113596301</v>
      </c>
      <c r="E3740" s="2405">
        <v>6229.3419342385396</v>
      </c>
      <c r="F3740" s="2406">
        <v>4.3203248988106504E-3</v>
      </c>
      <c r="G3740" s="2407">
        <v>4.4084155587751301E-3</v>
      </c>
    </row>
    <row r="3741" spans="1:7" x14ac:dyDescent="0.25">
      <c r="A3741" s="6" t="s">
        <v>982</v>
      </c>
      <c r="B3741" s="6" t="s">
        <v>983</v>
      </c>
      <c r="C3741" s="2400">
        <v>18937</v>
      </c>
      <c r="D3741" s="2400">
        <v>5318017042.1065302</v>
      </c>
      <c r="E3741" s="2401">
        <v>70394679.977825597</v>
      </c>
      <c r="F3741" s="2402">
        <v>99.958462294158807</v>
      </c>
      <c r="G3741" s="2403">
        <v>3.5093783531522801E-2</v>
      </c>
    </row>
    <row r="3742" spans="1:7" x14ac:dyDescent="0.25">
      <c r="A3742" s="11" t="s">
        <v>996</v>
      </c>
      <c r="B3742" s="11" t="s">
        <v>997</v>
      </c>
      <c r="C3742" s="2404">
        <v>5</v>
      </c>
      <c r="D3742" s="2404">
        <v>2209900.2173870602</v>
      </c>
      <c r="E3742" s="2405">
        <v>1871612.64334279</v>
      </c>
      <c r="F3742" s="2406">
        <v>4.1537705841205197E-2</v>
      </c>
      <c r="G3742" s="2407">
        <v>3.5093783531524099E-2</v>
      </c>
    </row>
    <row r="3743" spans="1:7" x14ac:dyDescent="0.25">
      <c r="A3743" s="6" t="s">
        <v>6293</v>
      </c>
      <c r="B3743" s="6" t="s">
        <v>6294</v>
      </c>
      <c r="C3743" s="2400">
        <v>817</v>
      </c>
      <c r="D3743" s="2400">
        <v>143387751.07087499</v>
      </c>
      <c r="E3743" s="2401">
        <v>18848056.612999201</v>
      </c>
      <c r="F3743" s="2402">
        <v>2.6244118430280698</v>
      </c>
      <c r="G3743" s="2403">
        <v>0.33856616846694898</v>
      </c>
    </row>
    <row r="3744" spans="1:7" x14ac:dyDescent="0.25">
      <c r="A3744" s="11" t="s">
        <v>6293</v>
      </c>
      <c r="B3744" s="11" t="s">
        <v>6295</v>
      </c>
      <c r="C3744" s="2404">
        <v>19759</v>
      </c>
      <c r="D3744" s="2404">
        <v>5463614693.3948002</v>
      </c>
      <c r="E3744" s="2405">
        <v>0</v>
      </c>
      <c r="F3744" s="2406">
        <v>100</v>
      </c>
      <c r="G3744" s="2407">
        <v>0</v>
      </c>
    </row>
    <row r="3745" spans="1:7" x14ac:dyDescent="0.25">
      <c r="A3745" s="3353" t="s">
        <v>913</v>
      </c>
      <c r="B3745" s="3354"/>
      <c r="C3745" s="3354"/>
      <c r="D3745" s="3354"/>
      <c r="E3745" s="3354"/>
      <c r="F3745" s="3354"/>
      <c r="G3745" s="3354"/>
    </row>
    <row r="3746" spans="1:7" x14ac:dyDescent="0.25">
      <c r="A3746" s="11" t="s">
        <v>986</v>
      </c>
      <c r="B3746" s="11" t="s">
        <v>6187</v>
      </c>
      <c r="C3746" s="2412">
        <v>519</v>
      </c>
      <c r="D3746" s="2412">
        <v>92035174.1717989</v>
      </c>
      <c r="E3746" s="2413">
        <v>17182963.5048871</v>
      </c>
      <c r="F3746" s="2414">
        <v>64.393239988710903</v>
      </c>
      <c r="G3746" s="2415">
        <v>6.0318877103783199</v>
      </c>
    </row>
    <row r="3747" spans="1:7" x14ac:dyDescent="0.25">
      <c r="A3747" s="6" t="s">
        <v>984</v>
      </c>
      <c r="B3747" s="6" t="s">
        <v>6186</v>
      </c>
      <c r="C3747" s="2408">
        <v>316</v>
      </c>
      <c r="D3747" s="2408">
        <v>50891589.861093499</v>
      </c>
      <c r="E3747" s="2409">
        <v>8076269.2284433404</v>
      </c>
      <c r="F3747" s="2410">
        <v>35.606760011289097</v>
      </c>
      <c r="G3747" s="2411">
        <v>6.0318877103783199</v>
      </c>
    </row>
    <row r="3748" spans="1:7" x14ac:dyDescent="0.25">
      <c r="A3748" s="11" t="s">
        <v>982</v>
      </c>
      <c r="B3748" s="11" t="s">
        <v>983</v>
      </c>
      <c r="C3748" s="2412">
        <v>18937</v>
      </c>
      <c r="D3748" s="2412">
        <v>5318017042.1065302</v>
      </c>
      <c r="E3748" s="2413">
        <v>70394679.977825597</v>
      </c>
      <c r="F3748" s="2414">
        <v>99.949801843467796</v>
      </c>
      <c r="G3748" s="2415">
        <v>3.43932840046976E-2</v>
      </c>
    </row>
    <row r="3749" spans="1:7" x14ac:dyDescent="0.25">
      <c r="A3749" s="6" t="s">
        <v>996</v>
      </c>
      <c r="B3749" s="6" t="s">
        <v>997</v>
      </c>
      <c r="C3749" s="2408">
        <v>5</v>
      </c>
      <c r="D3749" s="2408">
        <v>2209900.2173870602</v>
      </c>
      <c r="E3749" s="2409">
        <v>1871612.64334279</v>
      </c>
      <c r="F3749" s="2410">
        <v>4.1534106993794E-2</v>
      </c>
      <c r="G3749" s="2411">
        <v>3.5090823724823E-2</v>
      </c>
    </row>
    <row r="3750" spans="1:7" x14ac:dyDescent="0.25">
      <c r="A3750" s="11" t="s">
        <v>980</v>
      </c>
      <c r="B3750" s="11" t="s">
        <v>1041</v>
      </c>
      <c r="C3750" s="2412">
        <v>1</v>
      </c>
      <c r="D3750" s="2412">
        <v>445758.35040023102</v>
      </c>
      <c r="E3750" s="2413">
        <v>474618.85738744598</v>
      </c>
      <c r="F3750" s="2414">
        <v>8.3778330230634204E-3</v>
      </c>
      <c r="G3750" s="2415">
        <v>8.9131234481141502E-3</v>
      </c>
    </row>
    <row r="3751" spans="1:7" x14ac:dyDescent="0.25">
      <c r="A3751" s="6" t="s">
        <v>978</v>
      </c>
      <c r="B3751" s="6" t="s">
        <v>979</v>
      </c>
      <c r="C3751" s="2408">
        <v>1</v>
      </c>
      <c r="D3751" s="2408">
        <v>15228.687582292299</v>
      </c>
      <c r="E3751" s="2409">
        <v>15687.069275580499</v>
      </c>
      <c r="F3751" s="2410">
        <v>2.8621651531663198E-4</v>
      </c>
      <c r="G3751" s="2411">
        <v>2.9469719313738902E-4</v>
      </c>
    </row>
    <row r="3752" spans="1:7" x14ac:dyDescent="0.25">
      <c r="A3752" s="11" t="s">
        <v>6293</v>
      </c>
      <c r="B3752" s="11" t="s">
        <v>6294</v>
      </c>
      <c r="C3752" s="2412">
        <v>835</v>
      </c>
      <c r="D3752" s="2412">
        <v>142926764.03289199</v>
      </c>
      <c r="E3752" s="2413">
        <v>18745977.861139499</v>
      </c>
      <c r="F3752" s="2414">
        <v>2.6159744428113298</v>
      </c>
      <c r="G3752" s="2415">
        <v>0.33643289516199298</v>
      </c>
    </row>
    <row r="3753" spans="1:7" x14ac:dyDescent="0.25">
      <c r="A3753" s="6" t="s">
        <v>6293</v>
      </c>
      <c r="B3753" s="6" t="s">
        <v>6295</v>
      </c>
      <c r="C3753" s="2408">
        <v>19779</v>
      </c>
      <c r="D3753" s="2408">
        <v>5463614693.3948002</v>
      </c>
      <c r="E3753" s="2409">
        <v>0</v>
      </c>
      <c r="F3753" s="2410">
        <v>100</v>
      </c>
      <c r="G3753" s="2411">
        <v>0</v>
      </c>
    </row>
    <row r="3754" spans="1:7" x14ac:dyDescent="0.25">
      <c r="A3754" s="3353" t="s">
        <v>783</v>
      </c>
      <c r="B3754" s="3354"/>
      <c r="C3754" s="3354"/>
      <c r="D3754" s="3354"/>
      <c r="E3754" s="3354"/>
      <c r="F3754" s="3354"/>
      <c r="G3754" s="3354"/>
    </row>
    <row r="3755" spans="1:7" x14ac:dyDescent="0.25">
      <c r="A3755" s="11" t="s">
        <v>986</v>
      </c>
      <c r="B3755" s="11" t="s">
        <v>1062</v>
      </c>
      <c r="C3755" s="2420">
        <v>19528</v>
      </c>
      <c r="D3755" s="2420">
        <v>5326942449.5306797</v>
      </c>
      <c r="E3755" s="2421">
        <v>80305137.938867897</v>
      </c>
      <c r="F3755" s="2422">
        <v>97.498501421973799</v>
      </c>
      <c r="G3755" s="2423">
        <v>0.42505699343855702</v>
      </c>
    </row>
    <row r="3756" spans="1:7" x14ac:dyDescent="0.25">
      <c r="A3756" s="6" t="s">
        <v>984</v>
      </c>
      <c r="B3756" s="6" t="s">
        <v>1061</v>
      </c>
      <c r="C3756" s="2416">
        <v>251</v>
      </c>
      <c r="D3756" s="2416">
        <v>136672243.86410001</v>
      </c>
      <c r="E3756" s="2417">
        <v>22814623.745475799</v>
      </c>
      <c r="F3756" s="2418">
        <v>2.50149857802618</v>
      </c>
      <c r="G3756" s="2419">
        <v>0.42505699343856701</v>
      </c>
    </row>
    <row r="3757" spans="1:7" x14ac:dyDescent="0.25">
      <c r="A3757" s="11" t="s">
        <v>6293</v>
      </c>
      <c r="B3757" s="11" t="s">
        <v>6294</v>
      </c>
      <c r="C3757" s="2420">
        <v>19779</v>
      </c>
      <c r="D3757" s="2420">
        <v>5463614693.3947802</v>
      </c>
      <c r="E3757" s="2421">
        <v>72575038.820989102</v>
      </c>
      <c r="F3757" s="2422">
        <v>100</v>
      </c>
      <c r="G3757" s="2423">
        <v>2.71947991102104E-14</v>
      </c>
    </row>
    <row r="3758" spans="1:7" x14ac:dyDescent="0.25">
      <c r="A3758" s="6" t="s">
        <v>6293</v>
      </c>
      <c r="B3758" s="6" t="s">
        <v>6295</v>
      </c>
      <c r="C3758" s="2416">
        <v>19779</v>
      </c>
      <c r="D3758" s="2416">
        <v>5463614693.3947802</v>
      </c>
      <c r="E3758" s="2417">
        <v>0</v>
      </c>
      <c r="F3758" s="2418">
        <v>100</v>
      </c>
      <c r="G3758" s="2419">
        <v>0</v>
      </c>
    </row>
    <row r="3759" spans="1:7" x14ac:dyDescent="0.25">
      <c r="A3759" s="3353" t="s">
        <v>786</v>
      </c>
      <c r="B3759" s="3354"/>
      <c r="C3759" s="3354"/>
      <c r="D3759" s="3354"/>
      <c r="E3759" s="3354"/>
      <c r="F3759" s="3354"/>
      <c r="G3759" s="3354"/>
    </row>
    <row r="3760" spans="1:7" x14ac:dyDescent="0.25">
      <c r="A3760" s="11" t="s">
        <v>988</v>
      </c>
      <c r="B3760" s="11" t="s">
        <v>6096</v>
      </c>
      <c r="C3760" s="2428">
        <v>8159</v>
      </c>
      <c r="D3760" s="2428">
        <v>2414643032.7143402</v>
      </c>
      <c r="E3760" s="2429">
        <v>96655125.395413801</v>
      </c>
      <c r="F3760" s="2430">
        <v>44.194972892826499</v>
      </c>
      <c r="G3760" s="2431">
        <v>2.00584815068343</v>
      </c>
    </row>
    <row r="3761" spans="1:7" x14ac:dyDescent="0.25">
      <c r="A3761" s="6" t="s">
        <v>990</v>
      </c>
      <c r="B3761" s="6" t="s">
        <v>6057</v>
      </c>
      <c r="C3761" s="2424">
        <v>4806</v>
      </c>
      <c r="D3761" s="2424">
        <v>1199323643.43801</v>
      </c>
      <c r="E3761" s="2425">
        <v>109864393.299316</v>
      </c>
      <c r="F3761" s="2426">
        <v>21.951102168458299</v>
      </c>
      <c r="G3761" s="2427">
        <v>1.8510118545831999</v>
      </c>
    </row>
    <row r="3762" spans="1:7" x14ac:dyDescent="0.25">
      <c r="A3762" s="11" t="s">
        <v>994</v>
      </c>
      <c r="B3762" s="11" t="s">
        <v>6058</v>
      </c>
      <c r="C3762" s="2428">
        <v>3016</v>
      </c>
      <c r="D3762" s="2428">
        <v>734045237.53318799</v>
      </c>
      <c r="E3762" s="2429">
        <v>68064758.755445793</v>
      </c>
      <c r="F3762" s="2430">
        <v>13.4351574685638</v>
      </c>
      <c r="G3762" s="2431">
        <v>1.20801438133685</v>
      </c>
    </row>
    <row r="3763" spans="1:7" x14ac:dyDescent="0.25">
      <c r="A3763" s="6" t="s">
        <v>984</v>
      </c>
      <c r="B3763" s="6" t="s">
        <v>853</v>
      </c>
      <c r="C3763" s="2424">
        <v>1742</v>
      </c>
      <c r="D3763" s="2424">
        <v>468547166.85274899</v>
      </c>
      <c r="E3763" s="2425">
        <v>51199332.7244597</v>
      </c>
      <c r="F3763" s="2426">
        <v>8.5757725086139391</v>
      </c>
      <c r="G3763" s="2427">
        <v>0.89062947252439195</v>
      </c>
    </row>
    <row r="3764" spans="1:7" x14ac:dyDescent="0.25">
      <c r="A3764" s="11" t="s">
        <v>992</v>
      </c>
      <c r="B3764" s="11" t="s">
        <v>4517</v>
      </c>
      <c r="C3764" s="2428">
        <v>1087</v>
      </c>
      <c r="D3764" s="2428">
        <v>218189124.65152699</v>
      </c>
      <c r="E3764" s="2429">
        <v>57234498.265868202</v>
      </c>
      <c r="F3764" s="2430">
        <v>3.9934939942837202</v>
      </c>
      <c r="G3764" s="2431">
        <v>1.06270330838719</v>
      </c>
    </row>
    <row r="3765" spans="1:7" x14ac:dyDescent="0.25">
      <c r="A3765" s="6" t="s">
        <v>1017</v>
      </c>
      <c r="B3765" s="6" t="s">
        <v>6062</v>
      </c>
      <c r="C3765" s="2424">
        <v>237</v>
      </c>
      <c r="D3765" s="2424">
        <v>125328094.357106</v>
      </c>
      <c r="E3765" s="2425">
        <v>29440472.8413807</v>
      </c>
      <c r="F3765" s="2426">
        <v>2.2938677302522601</v>
      </c>
      <c r="G3765" s="2427">
        <v>0.53835953331136499</v>
      </c>
    </row>
    <row r="3766" spans="1:7" x14ac:dyDescent="0.25">
      <c r="A3766" s="11" t="s">
        <v>986</v>
      </c>
      <c r="B3766" s="11" t="s">
        <v>1001</v>
      </c>
      <c r="C3766" s="2428">
        <v>222</v>
      </c>
      <c r="D3766" s="2428">
        <v>89509503.023665398</v>
      </c>
      <c r="E3766" s="2429">
        <v>19993979.069474101</v>
      </c>
      <c r="F3766" s="2430">
        <v>1.6382835914815901</v>
      </c>
      <c r="G3766" s="2431">
        <v>0.358442211785996</v>
      </c>
    </row>
    <row r="3767" spans="1:7" x14ac:dyDescent="0.25">
      <c r="A3767" s="6" t="s">
        <v>1019</v>
      </c>
      <c r="B3767" s="6" t="s">
        <v>6083</v>
      </c>
      <c r="C3767" s="2424">
        <v>74</v>
      </c>
      <c r="D3767" s="2424">
        <v>60399692.444818802</v>
      </c>
      <c r="E3767" s="2425">
        <v>16193385.377172399</v>
      </c>
      <c r="F3767" s="2426">
        <v>1.10548960412303</v>
      </c>
      <c r="G3767" s="2427">
        <v>0.297930636816085</v>
      </c>
    </row>
    <row r="3768" spans="1:7" x14ac:dyDescent="0.25">
      <c r="A3768" s="11" t="s">
        <v>1003</v>
      </c>
      <c r="B3768" s="11" t="s">
        <v>6079</v>
      </c>
      <c r="C3768" s="2428">
        <v>76</v>
      </c>
      <c r="D3768" s="2428">
        <v>27148794.076611701</v>
      </c>
      <c r="E3768" s="2429">
        <v>18561529.3430687</v>
      </c>
      <c r="F3768" s="2430">
        <v>0.496901696040768</v>
      </c>
      <c r="G3768" s="2431">
        <v>0.33997378531411998</v>
      </c>
    </row>
    <row r="3769" spans="1:7" x14ac:dyDescent="0.25">
      <c r="A3769" s="6" t="s">
        <v>1031</v>
      </c>
      <c r="B3769" s="6" t="s">
        <v>6109</v>
      </c>
      <c r="C3769" s="2424">
        <v>42</v>
      </c>
      <c r="D3769" s="2424">
        <v>26020628.633184399</v>
      </c>
      <c r="E3769" s="2425">
        <v>8723646.7672362495</v>
      </c>
      <c r="F3769" s="2426">
        <v>0.47625299537761101</v>
      </c>
      <c r="G3769" s="2427">
        <v>0.15955176762881901</v>
      </c>
    </row>
    <row r="3770" spans="1:7" x14ac:dyDescent="0.25">
      <c r="A3770" s="11" t="s">
        <v>1005</v>
      </c>
      <c r="B3770" s="11" t="s">
        <v>6088</v>
      </c>
      <c r="C3770" s="2428">
        <v>46</v>
      </c>
      <c r="D3770" s="2428">
        <v>22573453.687307902</v>
      </c>
      <c r="E3770" s="2429">
        <v>10869034.373992899</v>
      </c>
      <c r="F3770" s="2430">
        <v>0.41315969287873899</v>
      </c>
      <c r="G3770" s="2431">
        <v>0.19738679853642399</v>
      </c>
    </row>
    <row r="3771" spans="1:7" x14ac:dyDescent="0.25">
      <c r="A3771" s="6" t="s">
        <v>1035</v>
      </c>
      <c r="B3771" s="6" t="s">
        <v>6087</v>
      </c>
      <c r="C3771" s="2424">
        <v>51</v>
      </c>
      <c r="D3771" s="2424">
        <v>20919654.9806775</v>
      </c>
      <c r="E3771" s="2425">
        <v>7873300.0885512903</v>
      </c>
      <c r="F3771" s="2426">
        <v>0.38289037852482399</v>
      </c>
      <c r="G3771" s="2427">
        <v>0.14449455804504899</v>
      </c>
    </row>
    <row r="3772" spans="1:7" x14ac:dyDescent="0.25">
      <c r="A3772" s="11" t="s">
        <v>1029</v>
      </c>
      <c r="B3772" s="11" t="s">
        <v>6108</v>
      </c>
      <c r="C3772" s="2428">
        <v>19</v>
      </c>
      <c r="D3772" s="2428">
        <v>18444770.3490564</v>
      </c>
      <c r="E3772" s="2429">
        <v>9956147.2478370294</v>
      </c>
      <c r="F3772" s="2430">
        <v>0.33759280959828503</v>
      </c>
      <c r="G3772" s="2431">
        <v>0.18315659229548301</v>
      </c>
    </row>
    <row r="3773" spans="1:7" x14ac:dyDescent="0.25">
      <c r="A3773" s="6" t="s">
        <v>1023</v>
      </c>
      <c r="B3773" s="6" t="s">
        <v>6065</v>
      </c>
      <c r="C3773" s="2424">
        <v>38</v>
      </c>
      <c r="D3773" s="2424">
        <v>18278014.929214898</v>
      </c>
      <c r="E3773" s="2425">
        <v>6807512.7709148796</v>
      </c>
      <c r="F3773" s="2426">
        <v>0.33454070162216498</v>
      </c>
      <c r="G3773" s="2427">
        <v>0.12520345775828301</v>
      </c>
    </row>
    <row r="3774" spans="1:7" x14ac:dyDescent="0.25">
      <c r="A3774" s="11" t="s">
        <v>1013</v>
      </c>
      <c r="B3774" s="11" t="s">
        <v>6060</v>
      </c>
      <c r="C3774" s="2428">
        <v>70</v>
      </c>
      <c r="D3774" s="2428">
        <v>9643632.2759738192</v>
      </c>
      <c r="E3774" s="2429">
        <v>3781275.0453364798</v>
      </c>
      <c r="F3774" s="2430">
        <v>0.176506448883233</v>
      </c>
      <c r="G3774" s="2431">
        <v>6.9475061621204606E-2</v>
      </c>
    </row>
    <row r="3775" spans="1:7" x14ac:dyDescent="0.25">
      <c r="A3775" s="6" t="s">
        <v>1033</v>
      </c>
      <c r="B3775" s="6" t="s">
        <v>6070</v>
      </c>
      <c r="C3775" s="2424">
        <v>31</v>
      </c>
      <c r="D3775" s="2424">
        <v>6617717.8477807296</v>
      </c>
      <c r="E3775" s="2425">
        <v>3215075.7395237298</v>
      </c>
      <c r="F3775" s="2426">
        <v>0.12112343602452599</v>
      </c>
      <c r="G3775" s="2427">
        <v>5.9007234368188402E-2</v>
      </c>
    </row>
    <row r="3776" spans="1:7" x14ac:dyDescent="0.25">
      <c r="A3776" s="11" t="s">
        <v>1021</v>
      </c>
      <c r="B3776" s="11" t="s">
        <v>6107</v>
      </c>
      <c r="C3776" s="2428">
        <v>21</v>
      </c>
      <c r="D3776" s="2428">
        <v>1944573.44640333</v>
      </c>
      <c r="E3776" s="2429">
        <v>1223015.0664711799</v>
      </c>
      <c r="F3776" s="2430">
        <v>3.5591335691262903E-2</v>
      </c>
      <c r="G3776" s="2431">
        <v>2.2397170651105001E-2</v>
      </c>
    </row>
    <row r="3777" spans="1:7" x14ac:dyDescent="0.25">
      <c r="A3777" s="6" t="s">
        <v>1015</v>
      </c>
      <c r="B3777" s="6" t="s">
        <v>6061</v>
      </c>
      <c r="C3777" s="2424">
        <v>38</v>
      </c>
      <c r="D3777" s="2424">
        <v>1776091.4140037401</v>
      </c>
      <c r="E3777" s="2425">
        <v>910103.16892957804</v>
      </c>
      <c r="F3777" s="2426">
        <v>3.250762569606E-2</v>
      </c>
      <c r="G3777" s="2427">
        <v>1.66832071848118E-2</v>
      </c>
    </row>
    <row r="3778" spans="1:7" x14ac:dyDescent="0.25">
      <c r="A3778" s="11" t="s">
        <v>1177</v>
      </c>
      <c r="B3778" s="11" t="s">
        <v>6110</v>
      </c>
      <c r="C3778" s="2428">
        <v>1</v>
      </c>
      <c r="D3778" s="2428">
        <v>136518.28749529301</v>
      </c>
      <c r="E3778" s="2429">
        <v>151231.782479588</v>
      </c>
      <c r="F3778" s="2430">
        <v>2.4986807298167301E-3</v>
      </c>
      <c r="G3778" s="2431">
        <v>2.7633798123118999E-3</v>
      </c>
    </row>
    <row r="3779" spans="1:7" x14ac:dyDescent="0.25">
      <c r="A3779" s="6" t="s">
        <v>1025</v>
      </c>
      <c r="B3779" s="6" t="s">
        <v>6066</v>
      </c>
      <c r="C3779" s="2424">
        <v>2</v>
      </c>
      <c r="D3779" s="2424">
        <v>95902.559774342197</v>
      </c>
      <c r="E3779" s="2425">
        <v>104415.770471132</v>
      </c>
      <c r="F3779" s="2426">
        <v>1.75529507763938E-3</v>
      </c>
      <c r="G3779" s="2427">
        <v>1.9071908079391501E-3</v>
      </c>
    </row>
    <row r="3780" spans="1:7" x14ac:dyDescent="0.25">
      <c r="A3780" s="11" t="s">
        <v>1027</v>
      </c>
      <c r="B3780" s="11" t="s">
        <v>6067</v>
      </c>
      <c r="C3780" s="2428">
        <v>1</v>
      </c>
      <c r="D3780" s="2428">
        <v>29445.891977491399</v>
      </c>
      <c r="E3780" s="2429">
        <v>29712.319852577199</v>
      </c>
      <c r="F3780" s="2430">
        <v>5.3894525199753697E-4</v>
      </c>
      <c r="G3780" s="2431">
        <v>5.42557320989133E-4</v>
      </c>
    </row>
    <row r="3781" spans="1:7" x14ac:dyDescent="0.25">
      <c r="A3781" s="6" t="s">
        <v>6293</v>
      </c>
      <c r="B3781" s="6" t="s">
        <v>6294</v>
      </c>
      <c r="C3781" s="2424">
        <v>19779</v>
      </c>
      <c r="D3781" s="2424">
        <v>5463614693.3948698</v>
      </c>
      <c r="E3781" s="2425">
        <v>72575038.820923597</v>
      </c>
      <c r="F3781" s="2426">
        <v>100</v>
      </c>
      <c r="G3781" s="2427">
        <v>2.29838001744816E-14</v>
      </c>
    </row>
    <row r="3782" spans="1:7" x14ac:dyDescent="0.25">
      <c r="A3782" s="11" t="s">
        <v>6293</v>
      </c>
      <c r="B3782" s="11" t="s">
        <v>6295</v>
      </c>
      <c r="C3782" s="2428">
        <v>19779</v>
      </c>
      <c r="D3782" s="2428">
        <v>5463614693.3948698</v>
      </c>
      <c r="E3782" s="2429">
        <v>0</v>
      </c>
      <c r="F3782" s="2430">
        <v>100</v>
      </c>
      <c r="G3782" s="2431">
        <v>0</v>
      </c>
    </row>
    <row r="3783" spans="1:7" x14ac:dyDescent="0.25">
      <c r="A3783" s="3353" t="s">
        <v>788</v>
      </c>
      <c r="B3783" s="3354"/>
      <c r="C3783" s="3354"/>
      <c r="D3783" s="3354"/>
      <c r="E3783" s="3354"/>
      <c r="F3783" s="3354"/>
      <c r="G3783" s="3354"/>
    </row>
    <row r="3784" spans="1:7" x14ac:dyDescent="0.25">
      <c r="A3784" s="11" t="s">
        <v>988</v>
      </c>
      <c r="B3784" s="11" t="s">
        <v>6096</v>
      </c>
      <c r="C3784" s="2436">
        <v>9835</v>
      </c>
      <c r="D3784" s="2436">
        <v>2784890693.5523701</v>
      </c>
      <c r="E3784" s="2437">
        <v>98974295.872412503</v>
      </c>
      <c r="F3784" s="2438">
        <v>50.971579253550303</v>
      </c>
      <c r="G3784" s="2439">
        <v>2.14163657472292</v>
      </c>
    </row>
    <row r="3785" spans="1:7" x14ac:dyDescent="0.25">
      <c r="A3785" s="6" t="s">
        <v>990</v>
      </c>
      <c r="B3785" s="6" t="s">
        <v>6057</v>
      </c>
      <c r="C3785" s="2432">
        <v>3743</v>
      </c>
      <c r="D3785" s="2432">
        <v>970375721.55209005</v>
      </c>
      <c r="E3785" s="2433">
        <v>104115934.390295</v>
      </c>
      <c r="F3785" s="2434">
        <v>17.760690971221202</v>
      </c>
      <c r="G3785" s="2435">
        <v>1.76121205862749</v>
      </c>
    </row>
    <row r="3786" spans="1:7" x14ac:dyDescent="0.25">
      <c r="A3786" s="11" t="s">
        <v>994</v>
      </c>
      <c r="B3786" s="11" t="s">
        <v>6058</v>
      </c>
      <c r="C3786" s="2436">
        <v>2741</v>
      </c>
      <c r="D3786" s="2436">
        <v>654123691.99092901</v>
      </c>
      <c r="E3786" s="2437">
        <v>68193535.303452</v>
      </c>
      <c r="F3786" s="2438">
        <v>11.9723613157004</v>
      </c>
      <c r="G3786" s="2439">
        <v>1.2111263978805</v>
      </c>
    </row>
    <row r="3787" spans="1:7" x14ac:dyDescent="0.25">
      <c r="A3787" s="6" t="s">
        <v>984</v>
      </c>
      <c r="B3787" s="6" t="s">
        <v>853</v>
      </c>
      <c r="C3787" s="2432">
        <v>1742</v>
      </c>
      <c r="D3787" s="2432">
        <v>468547166.85274899</v>
      </c>
      <c r="E3787" s="2433">
        <v>51199332.7244597</v>
      </c>
      <c r="F3787" s="2434">
        <v>8.5757725086139907</v>
      </c>
      <c r="G3787" s="2435">
        <v>0.89062947252439495</v>
      </c>
    </row>
    <row r="3788" spans="1:7" x14ac:dyDescent="0.25">
      <c r="A3788" s="11" t="s">
        <v>992</v>
      </c>
      <c r="B3788" s="11" t="s">
        <v>4517</v>
      </c>
      <c r="C3788" s="2436">
        <v>762</v>
      </c>
      <c r="D3788" s="2436">
        <v>157115449.99249101</v>
      </c>
      <c r="E3788" s="2437">
        <v>46874893.488160998</v>
      </c>
      <c r="F3788" s="2438">
        <v>2.8756685602744598</v>
      </c>
      <c r="G3788" s="2439">
        <v>0.86786363179076498</v>
      </c>
    </row>
    <row r="3789" spans="1:7" x14ac:dyDescent="0.25">
      <c r="A3789" s="6" t="s">
        <v>1017</v>
      </c>
      <c r="B3789" s="6" t="s">
        <v>6062</v>
      </c>
      <c r="C3789" s="2432">
        <v>237</v>
      </c>
      <c r="D3789" s="2432">
        <v>125328094.357106</v>
      </c>
      <c r="E3789" s="2433">
        <v>29440472.8413807</v>
      </c>
      <c r="F3789" s="2434">
        <v>2.2938677302522801</v>
      </c>
      <c r="G3789" s="2435">
        <v>0.53835953331136799</v>
      </c>
    </row>
    <row r="3790" spans="1:7" x14ac:dyDescent="0.25">
      <c r="A3790" s="11" t="s">
        <v>986</v>
      </c>
      <c r="B3790" s="11" t="s">
        <v>1001</v>
      </c>
      <c r="C3790" s="2436">
        <v>222</v>
      </c>
      <c r="D3790" s="2436">
        <v>89509503.023665398</v>
      </c>
      <c r="E3790" s="2437">
        <v>19993979.069474101</v>
      </c>
      <c r="F3790" s="2438">
        <v>1.6382835914816001</v>
      </c>
      <c r="G3790" s="2439">
        <v>0.358442211785993</v>
      </c>
    </row>
    <row r="3791" spans="1:7" x14ac:dyDescent="0.25">
      <c r="A3791" s="6" t="s">
        <v>1019</v>
      </c>
      <c r="B3791" s="6" t="s">
        <v>6083</v>
      </c>
      <c r="C3791" s="2432">
        <v>74</v>
      </c>
      <c r="D3791" s="2432">
        <v>60399692.444818802</v>
      </c>
      <c r="E3791" s="2433">
        <v>16193385.377172399</v>
      </c>
      <c r="F3791" s="2434">
        <v>1.10548960412304</v>
      </c>
      <c r="G3791" s="2435">
        <v>0.29793063681609</v>
      </c>
    </row>
    <row r="3792" spans="1:7" x14ac:dyDescent="0.25">
      <c r="A3792" s="11" t="s">
        <v>1003</v>
      </c>
      <c r="B3792" s="11" t="s">
        <v>6079</v>
      </c>
      <c r="C3792" s="2436">
        <v>80</v>
      </c>
      <c r="D3792" s="2436">
        <v>27665689.384691</v>
      </c>
      <c r="E3792" s="2437">
        <v>18513101.879108299</v>
      </c>
      <c r="F3792" s="2438">
        <v>0.50636237980209498</v>
      </c>
      <c r="G3792" s="2439">
        <v>0.33905933388081999</v>
      </c>
    </row>
    <row r="3793" spans="1:7" x14ac:dyDescent="0.25">
      <c r="A3793" s="6" t="s">
        <v>1031</v>
      </c>
      <c r="B3793" s="6" t="s">
        <v>6109</v>
      </c>
      <c r="C3793" s="2432">
        <v>42</v>
      </c>
      <c r="D3793" s="2432">
        <v>26020628.633184399</v>
      </c>
      <c r="E3793" s="2433">
        <v>8723646.7672362495</v>
      </c>
      <c r="F3793" s="2434">
        <v>0.47625299537761401</v>
      </c>
      <c r="G3793" s="2435">
        <v>0.15955176762882001</v>
      </c>
    </row>
    <row r="3794" spans="1:7" x14ac:dyDescent="0.25">
      <c r="A3794" s="11" t="s">
        <v>1005</v>
      </c>
      <c r="B3794" s="11" t="s">
        <v>6088</v>
      </c>
      <c r="C3794" s="2436">
        <v>46</v>
      </c>
      <c r="D3794" s="2436">
        <v>22573453.687307902</v>
      </c>
      <c r="E3794" s="2437">
        <v>10869034.373992899</v>
      </c>
      <c r="F3794" s="2438">
        <v>0.41315969287874099</v>
      </c>
      <c r="G3794" s="2439">
        <v>0.19738679853642299</v>
      </c>
    </row>
    <row r="3795" spans="1:7" x14ac:dyDescent="0.25">
      <c r="A3795" s="6" t="s">
        <v>1035</v>
      </c>
      <c r="B3795" s="6" t="s">
        <v>6087</v>
      </c>
      <c r="C3795" s="2432">
        <v>51</v>
      </c>
      <c r="D3795" s="2432">
        <v>20919654.9806775</v>
      </c>
      <c r="E3795" s="2433">
        <v>7873300.0885512903</v>
      </c>
      <c r="F3795" s="2434">
        <v>0.38289037852482599</v>
      </c>
      <c r="G3795" s="2435">
        <v>0.14449455804504799</v>
      </c>
    </row>
    <row r="3796" spans="1:7" x14ac:dyDescent="0.25">
      <c r="A3796" s="11" t="s">
        <v>1029</v>
      </c>
      <c r="B3796" s="11" t="s">
        <v>6108</v>
      </c>
      <c r="C3796" s="2436">
        <v>19</v>
      </c>
      <c r="D3796" s="2436">
        <v>18444770.3490564</v>
      </c>
      <c r="E3796" s="2437">
        <v>9956147.2478370294</v>
      </c>
      <c r="F3796" s="2438">
        <v>0.33759280959828603</v>
      </c>
      <c r="G3796" s="2439">
        <v>0.18315659229548301</v>
      </c>
    </row>
    <row r="3797" spans="1:7" x14ac:dyDescent="0.25">
      <c r="A3797" s="6" t="s">
        <v>1023</v>
      </c>
      <c r="B3797" s="6" t="s">
        <v>6065</v>
      </c>
      <c r="C3797" s="2432">
        <v>38</v>
      </c>
      <c r="D3797" s="2432">
        <v>18278014.929214898</v>
      </c>
      <c r="E3797" s="2433">
        <v>6807512.7709148796</v>
      </c>
      <c r="F3797" s="2434">
        <v>0.33454070162216698</v>
      </c>
      <c r="G3797" s="2435">
        <v>0.12520345775828301</v>
      </c>
    </row>
    <row r="3798" spans="1:7" x14ac:dyDescent="0.25">
      <c r="A3798" s="11" t="s">
        <v>1013</v>
      </c>
      <c r="B3798" s="11" t="s">
        <v>6060</v>
      </c>
      <c r="C3798" s="2436">
        <v>70</v>
      </c>
      <c r="D3798" s="2436">
        <v>9623441.3527019992</v>
      </c>
      <c r="E3798" s="2437">
        <v>3787160.3835296398</v>
      </c>
      <c r="F3798" s="2438">
        <v>0.176136896409187</v>
      </c>
      <c r="G3798" s="2439">
        <v>6.9582412341707395E-2</v>
      </c>
    </row>
    <row r="3799" spans="1:7" x14ac:dyDescent="0.25">
      <c r="A3799" s="6" t="s">
        <v>1033</v>
      </c>
      <c r="B3799" s="6" t="s">
        <v>6070</v>
      </c>
      <c r="C3799" s="2432">
        <v>31</v>
      </c>
      <c r="D3799" s="2432">
        <v>6617717.8477807296</v>
      </c>
      <c r="E3799" s="2433">
        <v>3215075.7395237298</v>
      </c>
      <c r="F3799" s="2434">
        <v>0.12112343602452701</v>
      </c>
      <c r="G3799" s="2435">
        <v>5.9007234368189498E-2</v>
      </c>
    </row>
    <row r="3800" spans="1:7" x14ac:dyDescent="0.25">
      <c r="A3800" s="11" t="s">
        <v>1021</v>
      </c>
      <c r="B3800" s="11" t="s">
        <v>6107</v>
      </c>
      <c r="C3800" s="2436">
        <v>21</v>
      </c>
      <c r="D3800" s="2436">
        <v>1944573.44640333</v>
      </c>
      <c r="E3800" s="2437">
        <v>1223015.0664711799</v>
      </c>
      <c r="F3800" s="2438">
        <v>3.5591335691263097E-2</v>
      </c>
      <c r="G3800" s="2439">
        <v>2.23971706511049E-2</v>
      </c>
    </row>
    <row r="3801" spans="1:7" x14ac:dyDescent="0.25">
      <c r="A3801" s="6" t="s">
        <v>1015</v>
      </c>
      <c r="B3801" s="6" t="s">
        <v>6061</v>
      </c>
      <c r="C3801" s="2432">
        <v>21</v>
      </c>
      <c r="D3801" s="2432">
        <v>974868.27835353406</v>
      </c>
      <c r="E3801" s="2433">
        <v>797217.94871980697</v>
      </c>
      <c r="F3801" s="2434">
        <v>1.78429177945525E-2</v>
      </c>
      <c r="G3801" s="2435">
        <v>1.45866880637855E-2</v>
      </c>
    </row>
    <row r="3802" spans="1:7" x14ac:dyDescent="0.25">
      <c r="A3802" s="11" t="s">
        <v>1177</v>
      </c>
      <c r="B3802" s="11" t="s">
        <v>6110</v>
      </c>
      <c r="C3802" s="2436">
        <v>1</v>
      </c>
      <c r="D3802" s="2436">
        <v>136518.28749529301</v>
      </c>
      <c r="E3802" s="2437">
        <v>151231.782479588</v>
      </c>
      <c r="F3802" s="2438">
        <v>2.4986807298167401E-3</v>
      </c>
      <c r="G3802" s="2439">
        <v>2.7633798123118999E-3</v>
      </c>
    </row>
    <row r="3803" spans="1:7" x14ac:dyDescent="0.25">
      <c r="A3803" s="6" t="s">
        <v>1025</v>
      </c>
      <c r="B3803" s="6" t="s">
        <v>6066</v>
      </c>
      <c r="C3803" s="2432">
        <v>2</v>
      </c>
      <c r="D3803" s="2432">
        <v>95902.559774342197</v>
      </c>
      <c r="E3803" s="2433">
        <v>104415.770471132</v>
      </c>
      <c r="F3803" s="2434">
        <v>1.75529507763939E-3</v>
      </c>
      <c r="G3803" s="2435">
        <v>1.9071908079391501E-3</v>
      </c>
    </row>
    <row r="3804" spans="1:7" x14ac:dyDescent="0.25">
      <c r="A3804" s="11" t="s">
        <v>1027</v>
      </c>
      <c r="B3804" s="11" t="s">
        <v>6067</v>
      </c>
      <c r="C3804" s="2436">
        <v>1</v>
      </c>
      <c r="D3804" s="2436">
        <v>29445.891977491399</v>
      </c>
      <c r="E3804" s="2437">
        <v>29712.319852577199</v>
      </c>
      <c r="F3804" s="2438">
        <v>5.3894525199753903E-4</v>
      </c>
      <c r="G3804" s="2439">
        <v>5.42557320989133E-4</v>
      </c>
    </row>
    <row r="3805" spans="1:7" x14ac:dyDescent="0.25">
      <c r="A3805" s="6" t="s">
        <v>6293</v>
      </c>
      <c r="B3805" s="6" t="s">
        <v>6294</v>
      </c>
      <c r="C3805" s="2432">
        <v>19779</v>
      </c>
      <c r="D3805" s="2432">
        <v>5463614693.3948402</v>
      </c>
      <c r="E3805" s="2433">
        <v>72575038.820948303</v>
      </c>
      <c r="F3805" s="2434">
        <v>100</v>
      </c>
      <c r="G3805" s="2435">
        <v>2.29838001744816E-14</v>
      </c>
    </row>
    <row r="3806" spans="1:7" x14ac:dyDescent="0.25">
      <c r="A3806" s="11" t="s">
        <v>6293</v>
      </c>
      <c r="B3806" s="11" t="s">
        <v>6295</v>
      </c>
      <c r="C3806" s="2436">
        <v>19779</v>
      </c>
      <c r="D3806" s="2436">
        <v>5463614693.3948402</v>
      </c>
      <c r="E3806" s="2437">
        <v>0</v>
      </c>
      <c r="F3806" s="2438">
        <v>100</v>
      </c>
      <c r="G3806" s="2439">
        <v>0</v>
      </c>
    </row>
    <row r="3807" spans="1:7" x14ac:dyDescent="0.25">
      <c r="A3807" s="3353" t="s">
        <v>791</v>
      </c>
      <c r="B3807" s="3354"/>
      <c r="C3807" s="3354"/>
      <c r="D3807" s="3354"/>
      <c r="E3807" s="3354"/>
      <c r="F3807" s="3354"/>
      <c r="G3807" s="3354"/>
    </row>
    <row r="3808" spans="1:7" x14ac:dyDescent="0.25">
      <c r="A3808" s="11" t="s">
        <v>6718</v>
      </c>
      <c r="B3808" s="11"/>
      <c r="C3808" s="2444">
        <v>8</v>
      </c>
      <c r="D3808" s="2444">
        <v>8182806.8324352596</v>
      </c>
      <c r="E3808" s="2445">
        <v>6006358.0757518904</v>
      </c>
      <c r="F3808" s="2446">
        <v>36.2496893288248</v>
      </c>
      <c r="G3808" s="2447">
        <v>27.152837693219102</v>
      </c>
    </row>
    <row r="3809" spans="1:7" x14ac:dyDescent="0.25">
      <c r="A3809" s="6" t="s">
        <v>6719</v>
      </c>
      <c r="B3809" s="6"/>
      <c r="C3809" s="2440">
        <v>10</v>
      </c>
      <c r="D3809" s="2440">
        <v>7950133.7087917803</v>
      </c>
      <c r="E3809" s="2441">
        <v>7976096.1988671403</v>
      </c>
      <c r="F3809" s="2442">
        <v>35.218951512332403</v>
      </c>
      <c r="G3809" s="2443">
        <v>35.765712038502201</v>
      </c>
    </row>
    <row r="3810" spans="1:7" x14ac:dyDescent="0.25">
      <c r="A3810" s="11" t="s">
        <v>6720</v>
      </c>
      <c r="B3810" s="11"/>
      <c r="C3810" s="2444">
        <v>4</v>
      </c>
      <c r="D3810" s="2444">
        <v>1960564.3376418599</v>
      </c>
      <c r="E3810" s="2445">
        <v>2035142.08649827</v>
      </c>
      <c r="F3810" s="2446">
        <v>8.6852652890425901</v>
      </c>
      <c r="G3810" s="2447">
        <v>9.3067089937725402</v>
      </c>
    </row>
    <row r="3811" spans="1:7" x14ac:dyDescent="0.25">
      <c r="A3811" s="6" t="s">
        <v>6461</v>
      </c>
      <c r="B3811" s="6"/>
      <c r="C3811" s="2440">
        <v>4</v>
      </c>
      <c r="D3811" s="2440">
        <v>1957295.5922936101</v>
      </c>
      <c r="E3811" s="2441">
        <v>1358131.2726207499</v>
      </c>
      <c r="F3811" s="2442">
        <v>8.6707848050478802</v>
      </c>
      <c r="G3811" s="2443">
        <v>8.1657311979174594</v>
      </c>
    </row>
    <row r="3812" spans="1:7" x14ac:dyDescent="0.25">
      <c r="A3812" s="11" t="s">
        <v>6721</v>
      </c>
      <c r="B3812" s="11"/>
      <c r="C3812" s="2444">
        <v>7</v>
      </c>
      <c r="D3812" s="2444">
        <v>1541226.47928235</v>
      </c>
      <c r="E3812" s="2445">
        <v>1576652.6520044799</v>
      </c>
      <c r="F3812" s="2446">
        <v>6.8276060040777597</v>
      </c>
      <c r="G3812" s="2447">
        <v>8.0038180863158708</v>
      </c>
    </row>
    <row r="3813" spans="1:7" x14ac:dyDescent="0.25">
      <c r="A3813" s="6" t="s">
        <v>6463</v>
      </c>
      <c r="B3813" s="6"/>
      <c r="C3813" s="2440">
        <v>5</v>
      </c>
      <c r="D3813" s="2440">
        <v>880815.61013723596</v>
      </c>
      <c r="E3813" s="2441">
        <v>859338.16138347203</v>
      </c>
      <c r="F3813" s="2442">
        <v>3.9019975513648699</v>
      </c>
      <c r="G3813" s="2443">
        <v>4.5808004924097103</v>
      </c>
    </row>
    <row r="3814" spans="1:7" x14ac:dyDescent="0.25">
      <c r="A3814" s="11" t="s">
        <v>6722</v>
      </c>
      <c r="B3814" s="11"/>
      <c r="C3814" s="2444">
        <v>5</v>
      </c>
      <c r="D3814" s="2444">
        <v>68636.105157153506</v>
      </c>
      <c r="E3814" s="2445">
        <v>72172.724102296896</v>
      </c>
      <c r="F3814" s="2446">
        <v>0.30405673012165102</v>
      </c>
      <c r="G3814" s="2447">
        <v>0.35693378937576598</v>
      </c>
    </row>
    <row r="3815" spans="1:7" x14ac:dyDescent="0.25">
      <c r="A3815" s="6" t="s">
        <v>6723</v>
      </c>
      <c r="B3815" s="6"/>
      <c r="C3815" s="2440">
        <v>2</v>
      </c>
      <c r="D3815" s="2440">
        <v>18576.739171360601</v>
      </c>
      <c r="E3815" s="2441">
        <v>15104.2164771878</v>
      </c>
      <c r="F3815" s="2442">
        <v>8.2294625486597897E-2</v>
      </c>
      <c r="G3815" s="2443">
        <v>8.8433291965397398E-2</v>
      </c>
    </row>
    <row r="3816" spans="1:7" x14ac:dyDescent="0.25">
      <c r="A3816" s="11" t="s">
        <v>6724</v>
      </c>
      <c r="B3816" s="11"/>
      <c r="C3816" s="2444">
        <v>1</v>
      </c>
      <c r="D3816" s="2444">
        <v>13398.2823972733</v>
      </c>
      <c r="E3816" s="2445">
        <v>13541.3011682182</v>
      </c>
      <c r="F3816" s="2446">
        <v>5.93541537013745E-2</v>
      </c>
      <c r="G3816" s="2447">
        <v>6.7738867516482698E-2</v>
      </c>
    </row>
    <row r="3817" spans="1:7" x14ac:dyDescent="0.25">
      <c r="A3817" s="6" t="s">
        <v>982</v>
      </c>
      <c r="B3817" s="6" t="s">
        <v>983</v>
      </c>
      <c r="C3817" s="2440">
        <v>19733</v>
      </c>
      <c r="D3817" s="2440">
        <v>5441041239.70749</v>
      </c>
      <c r="E3817" s="2441">
        <v>69746344.506041005</v>
      </c>
      <c r="F3817" s="2442">
        <v>100</v>
      </c>
      <c r="G3817" s="2443">
        <v>0</v>
      </c>
    </row>
    <row r="3818" spans="1:7" x14ac:dyDescent="0.25">
      <c r="A3818" s="11" t="s">
        <v>6293</v>
      </c>
      <c r="B3818" s="11" t="s">
        <v>6294</v>
      </c>
      <c r="C3818" s="2444">
        <v>46</v>
      </c>
      <c r="D3818" s="2444">
        <v>22573453.687307902</v>
      </c>
      <c r="E3818" s="2445">
        <v>10869034.373992899</v>
      </c>
      <c r="F3818" s="2446">
        <v>0.41315969287874399</v>
      </c>
      <c r="G3818" s="2447">
        <v>0.19738679853642399</v>
      </c>
    </row>
    <row r="3819" spans="1:7" x14ac:dyDescent="0.25">
      <c r="A3819" s="6" t="s">
        <v>6293</v>
      </c>
      <c r="B3819" s="6" t="s">
        <v>6295</v>
      </c>
      <c r="C3819" s="2440">
        <v>19779</v>
      </c>
      <c r="D3819" s="2440">
        <v>5463614693.3948002</v>
      </c>
      <c r="E3819" s="2441">
        <v>0</v>
      </c>
      <c r="F3819" s="2442">
        <v>100</v>
      </c>
      <c r="G3819" s="2443">
        <v>0</v>
      </c>
    </row>
    <row r="3820" spans="1:7" x14ac:dyDescent="0.25">
      <c r="A3820" s="3353" t="s">
        <v>773</v>
      </c>
      <c r="B3820" s="3354"/>
      <c r="C3820" s="3354"/>
      <c r="D3820" s="3354"/>
      <c r="E3820" s="3354"/>
      <c r="F3820" s="3354"/>
      <c r="G3820" s="3354"/>
    </row>
    <row r="3821" spans="1:7" x14ac:dyDescent="0.25">
      <c r="A3821" s="11" t="s">
        <v>1174</v>
      </c>
      <c r="B3821" s="11"/>
      <c r="C3821" s="2452">
        <v>10024</v>
      </c>
      <c r="D3821" s="2452">
        <v>2680931638.69591</v>
      </c>
      <c r="E3821" s="2453">
        <v>79760791.419299796</v>
      </c>
      <c r="F3821" s="2454">
        <v>49.0688269422985</v>
      </c>
      <c r="G3821" s="2455">
        <v>1.1690970396654501</v>
      </c>
    </row>
    <row r="3822" spans="1:7" x14ac:dyDescent="0.25">
      <c r="A3822" s="6" t="s">
        <v>984</v>
      </c>
      <c r="B3822" s="6"/>
      <c r="C3822" s="2448">
        <v>6553</v>
      </c>
      <c r="D3822" s="2448">
        <v>1650635370.81142</v>
      </c>
      <c r="E3822" s="2449">
        <v>32084316.490196198</v>
      </c>
      <c r="F3822" s="2450">
        <v>30.211416130916501</v>
      </c>
      <c r="G3822" s="2451">
        <v>0.76966849784775704</v>
      </c>
    </row>
    <row r="3823" spans="1:7" x14ac:dyDescent="0.25">
      <c r="A3823" s="11" t="s">
        <v>986</v>
      </c>
      <c r="B3823" s="11"/>
      <c r="C3823" s="2452">
        <v>1703</v>
      </c>
      <c r="D3823" s="2452">
        <v>627994148.26163697</v>
      </c>
      <c r="E3823" s="2453">
        <v>68340567.868250802</v>
      </c>
      <c r="F3823" s="2454">
        <v>11.494114858078101</v>
      </c>
      <c r="G3823" s="2455">
        <v>1.2676737362417001</v>
      </c>
    </row>
    <row r="3824" spans="1:7" x14ac:dyDescent="0.25">
      <c r="A3824" s="6" t="s">
        <v>988</v>
      </c>
      <c r="B3824" s="6"/>
      <c r="C3824" s="2448">
        <v>933</v>
      </c>
      <c r="D3824" s="2448">
        <v>306963156.25778902</v>
      </c>
      <c r="E3824" s="2449">
        <v>67744314.506545007</v>
      </c>
      <c r="F3824" s="2450">
        <v>5.6183163250674903</v>
      </c>
      <c r="G3824" s="2451">
        <v>1.2305376941550601</v>
      </c>
    </row>
    <row r="3825" spans="1:7" x14ac:dyDescent="0.25">
      <c r="A3825" s="11" t="s">
        <v>992</v>
      </c>
      <c r="B3825" s="11"/>
      <c r="C3825" s="2452">
        <v>177</v>
      </c>
      <c r="D3825" s="2452">
        <v>91258125.295937002</v>
      </c>
      <c r="E3825" s="2453">
        <v>38660430.922476202</v>
      </c>
      <c r="F3825" s="2454">
        <v>1.67028845219012</v>
      </c>
      <c r="G3825" s="2455">
        <v>0.70010082039161603</v>
      </c>
    </row>
    <row r="3826" spans="1:7" x14ac:dyDescent="0.25">
      <c r="A3826" s="6" t="s">
        <v>990</v>
      </c>
      <c r="B3826" s="6"/>
      <c r="C3826" s="2448">
        <v>306</v>
      </c>
      <c r="D3826" s="2448">
        <v>88471758.310672507</v>
      </c>
      <c r="E3826" s="2449">
        <v>28087765.819819</v>
      </c>
      <c r="F3826" s="2450">
        <v>1.6192898525152</v>
      </c>
      <c r="G3826" s="2451">
        <v>0.50391940300520599</v>
      </c>
    </row>
    <row r="3827" spans="1:7" x14ac:dyDescent="0.25">
      <c r="A3827" s="11" t="s">
        <v>994</v>
      </c>
      <c r="B3827" s="11"/>
      <c r="C3827" s="2452">
        <v>50</v>
      </c>
      <c r="D3827" s="2452">
        <v>10031037.1320554</v>
      </c>
      <c r="E3827" s="2453">
        <v>4465443.6216548597</v>
      </c>
      <c r="F3827" s="2454">
        <v>0.18359708169359501</v>
      </c>
      <c r="G3827" s="2455">
        <v>8.1970543305806803E-2</v>
      </c>
    </row>
    <row r="3828" spans="1:7" x14ac:dyDescent="0.25">
      <c r="A3828" s="6" t="s">
        <v>1003</v>
      </c>
      <c r="B3828" s="6"/>
      <c r="C3828" s="2448">
        <v>10</v>
      </c>
      <c r="D3828" s="2448">
        <v>2702122.8497053999</v>
      </c>
      <c r="E3828" s="2449">
        <v>2250009.99840385</v>
      </c>
      <c r="F3828" s="2450">
        <v>4.9456687583992402E-2</v>
      </c>
      <c r="G3828" s="2451">
        <v>4.1324912022443497E-2</v>
      </c>
    </row>
    <row r="3829" spans="1:7" x14ac:dyDescent="0.25">
      <c r="A3829" s="11" t="s">
        <v>1013</v>
      </c>
      <c r="B3829" s="11"/>
      <c r="C3829" s="2452">
        <v>7</v>
      </c>
      <c r="D3829" s="2452">
        <v>2046731.5895311299</v>
      </c>
      <c r="E3829" s="2453">
        <v>1343502.03491048</v>
      </c>
      <c r="F3829" s="2454">
        <v>3.7461126093051397E-2</v>
      </c>
      <c r="G3829" s="2455">
        <v>2.4615681898150301E-2</v>
      </c>
    </row>
    <row r="3830" spans="1:7" x14ac:dyDescent="0.25">
      <c r="A3830" s="6" t="s">
        <v>3069</v>
      </c>
      <c r="B3830" s="6"/>
      <c r="C3830" s="2448">
        <v>2</v>
      </c>
      <c r="D3830" s="2448">
        <v>1414203.3228174599</v>
      </c>
      <c r="E3830" s="2449">
        <v>1500343.6189784401</v>
      </c>
      <c r="F3830" s="2450">
        <v>2.5884023712857002E-2</v>
      </c>
      <c r="G3830" s="2451">
        <v>2.74471630553778E-2</v>
      </c>
    </row>
    <row r="3831" spans="1:7" x14ac:dyDescent="0.25">
      <c r="A3831" s="11" t="s">
        <v>3201</v>
      </c>
      <c r="B3831" s="11"/>
      <c r="C3831" s="2452">
        <v>5</v>
      </c>
      <c r="D3831" s="2452">
        <v>877571.22551373497</v>
      </c>
      <c r="E3831" s="2453">
        <v>942594.42143194599</v>
      </c>
      <c r="F3831" s="2454">
        <v>1.60620994480936E-2</v>
      </c>
      <c r="G3831" s="2455">
        <v>1.7210477706027499E-2</v>
      </c>
    </row>
    <row r="3832" spans="1:7" x14ac:dyDescent="0.25">
      <c r="A3832" s="6" t="s">
        <v>1017</v>
      </c>
      <c r="B3832" s="6"/>
      <c r="C3832" s="2448">
        <v>2</v>
      </c>
      <c r="D3832" s="2448">
        <v>120864.71683870599</v>
      </c>
      <c r="E3832" s="2449">
        <v>124641.353546509</v>
      </c>
      <c r="F3832" s="2450">
        <v>2.2121749724559299E-3</v>
      </c>
      <c r="G3832" s="2451">
        <v>2.2812200853223699E-3</v>
      </c>
    </row>
    <row r="3833" spans="1:7" x14ac:dyDescent="0.25">
      <c r="A3833" s="11" t="s">
        <v>1177</v>
      </c>
      <c r="B3833" s="11"/>
      <c r="C3833" s="2452">
        <v>1</v>
      </c>
      <c r="D3833" s="2452">
        <v>114078.556083068</v>
      </c>
      <c r="E3833" s="2453">
        <v>116882.165819434</v>
      </c>
      <c r="F3833" s="2454">
        <v>2.0879685425288399E-3</v>
      </c>
      <c r="G3833" s="2455">
        <v>2.13962860661884E-3</v>
      </c>
    </row>
    <row r="3834" spans="1:7" x14ac:dyDescent="0.25">
      <c r="A3834" s="6" t="s">
        <v>1021</v>
      </c>
      <c r="B3834" s="6"/>
      <c r="C3834" s="2448">
        <v>2</v>
      </c>
      <c r="D3834" s="2448">
        <v>53886.368939827502</v>
      </c>
      <c r="E3834" s="2449">
        <v>54259.895366935802</v>
      </c>
      <c r="F3834" s="2450">
        <v>9.8627688744179791E-4</v>
      </c>
      <c r="G3834" s="2451">
        <v>9.9220868727741408E-4</v>
      </c>
    </row>
    <row r="3835" spans="1:7" x14ac:dyDescent="0.25">
      <c r="A3835" s="11" t="s">
        <v>6293</v>
      </c>
      <c r="B3835" s="11" t="s">
        <v>6294</v>
      </c>
      <c r="C3835" s="2452">
        <v>19775</v>
      </c>
      <c r="D3835" s="2452">
        <v>5463614693.3948498</v>
      </c>
      <c r="E3835" s="2453">
        <v>72575038.820915103</v>
      </c>
      <c r="F3835" s="2454">
        <v>100</v>
      </c>
      <c r="G3835" s="2455">
        <v>1.45362315675074E-14</v>
      </c>
    </row>
    <row r="3836" spans="1:7" x14ac:dyDescent="0.25">
      <c r="A3836" s="6" t="s">
        <v>6293</v>
      </c>
      <c r="B3836" s="6" t="s">
        <v>6295</v>
      </c>
      <c r="C3836" s="2448">
        <v>19775</v>
      </c>
      <c r="D3836" s="2448">
        <v>5463614693.3948498</v>
      </c>
      <c r="E3836" s="2449">
        <v>0</v>
      </c>
      <c r="F3836" s="2450">
        <v>100</v>
      </c>
      <c r="G3836" s="2451">
        <v>0</v>
      </c>
    </row>
    <row r="3837" spans="1:7" x14ac:dyDescent="0.25">
      <c r="A3837" s="3353" t="s">
        <v>775</v>
      </c>
      <c r="B3837" s="3354"/>
      <c r="C3837" s="3354"/>
      <c r="D3837" s="3354"/>
      <c r="E3837" s="3354"/>
      <c r="F3837" s="3354"/>
      <c r="G3837" s="3354"/>
    </row>
    <row r="3838" spans="1:7" x14ac:dyDescent="0.25">
      <c r="A3838" s="11" t="s">
        <v>1174</v>
      </c>
      <c r="B3838" s="11"/>
      <c r="C3838" s="2460">
        <v>12101</v>
      </c>
      <c r="D3838" s="2460">
        <v>3277406541.0750499</v>
      </c>
      <c r="E3838" s="2461">
        <v>96934400.408676699</v>
      </c>
      <c r="F3838" s="2462">
        <v>59.9860481566757</v>
      </c>
      <c r="G3838" s="2463">
        <v>1.5850037261835901</v>
      </c>
    </row>
    <row r="3839" spans="1:7" x14ac:dyDescent="0.25">
      <c r="A3839" s="6" t="s">
        <v>984</v>
      </c>
      <c r="B3839" s="6"/>
      <c r="C3839" s="2456">
        <v>5920</v>
      </c>
      <c r="D3839" s="2456">
        <v>1428701188.42239</v>
      </c>
      <c r="E3839" s="2457">
        <v>61426100.066551901</v>
      </c>
      <c r="F3839" s="2458">
        <v>26.149376714825699</v>
      </c>
      <c r="G3839" s="2459">
        <v>1.0498630052005999</v>
      </c>
    </row>
    <row r="3840" spans="1:7" x14ac:dyDescent="0.25">
      <c r="A3840" s="11" t="s">
        <v>986</v>
      </c>
      <c r="B3840" s="11"/>
      <c r="C3840" s="2460">
        <v>986</v>
      </c>
      <c r="D3840" s="2460">
        <v>464417276.33971697</v>
      </c>
      <c r="E3840" s="2461">
        <v>51525073.578458801</v>
      </c>
      <c r="F3840" s="2462">
        <v>8.5001835305327305</v>
      </c>
      <c r="G3840" s="2463">
        <v>0.99835440839846501</v>
      </c>
    </row>
    <row r="3841" spans="1:7" x14ac:dyDescent="0.25">
      <c r="A3841" s="6" t="s">
        <v>988</v>
      </c>
      <c r="B3841" s="6"/>
      <c r="C3841" s="2456">
        <v>488</v>
      </c>
      <c r="D3841" s="2456">
        <v>177945813.37191701</v>
      </c>
      <c r="E3841" s="2457">
        <v>65915873.369820498</v>
      </c>
      <c r="F3841" s="2458">
        <v>3.2569246434424</v>
      </c>
      <c r="G3841" s="2459">
        <v>1.20010842863675</v>
      </c>
    </row>
    <row r="3842" spans="1:7" x14ac:dyDescent="0.25">
      <c r="A3842" s="11" t="s">
        <v>990</v>
      </c>
      <c r="B3842" s="11"/>
      <c r="C3842" s="2460">
        <v>207</v>
      </c>
      <c r="D3842" s="2460">
        <v>100515796.297636</v>
      </c>
      <c r="E3842" s="2461">
        <v>37760489.478226803</v>
      </c>
      <c r="F3842" s="2462">
        <v>1.83973068999819</v>
      </c>
      <c r="G3842" s="2463">
        <v>0.67960197562618696</v>
      </c>
    </row>
    <row r="3843" spans="1:7" x14ac:dyDescent="0.25">
      <c r="A3843" s="6" t="s">
        <v>992</v>
      </c>
      <c r="B3843" s="6"/>
      <c r="C3843" s="2456">
        <v>44</v>
      </c>
      <c r="D3843" s="2456">
        <v>11736080.7645433</v>
      </c>
      <c r="E3843" s="2457">
        <v>12611057.8665145</v>
      </c>
      <c r="F3843" s="2458">
        <v>0.21480432686315601</v>
      </c>
      <c r="G3843" s="2459">
        <v>0.23013698326233201</v>
      </c>
    </row>
    <row r="3844" spans="1:7" x14ac:dyDescent="0.25">
      <c r="A3844" s="11" t="s">
        <v>994</v>
      </c>
      <c r="B3844" s="11"/>
      <c r="C3844" s="2460">
        <v>26</v>
      </c>
      <c r="D3844" s="2460">
        <v>2435895.8431313299</v>
      </c>
      <c r="E3844" s="2461">
        <v>2478983.1656151498</v>
      </c>
      <c r="F3844" s="2462">
        <v>4.4583960982390598E-2</v>
      </c>
      <c r="G3844" s="2463">
        <v>4.5383764759566202E-2</v>
      </c>
    </row>
    <row r="3845" spans="1:7" x14ac:dyDescent="0.25">
      <c r="A3845" s="6" t="s">
        <v>1003</v>
      </c>
      <c r="B3845" s="6"/>
      <c r="C3845" s="2456">
        <v>7</v>
      </c>
      <c r="D3845" s="2456">
        <v>456101.28047580598</v>
      </c>
      <c r="E3845" s="2457">
        <v>465680.44402629399</v>
      </c>
      <c r="F3845" s="2458">
        <v>8.34797667974649E-3</v>
      </c>
      <c r="G3845" s="2459">
        <v>8.5268079303530003E-3</v>
      </c>
    </row>
    <row r="3846" spans="1:7" x14ac:dyDescent="0.25">
      <c r="A3846" s="11" t="s">
        <v>6293</v>
      </c>
      <c r="B3846" s="11" t="s">
        <v>6294</v>
      </c>
      <c r="C3846" s="2460">
        <v>19779</v>
      </c>
      <c r="D3846" s="2460">
        <v>5463614693.3948603</v>
      </c>
      <c r="E3846" s="2461">
        <v>72575038.820927903</v>
      </c>
      <c r="F3846" s="2462">
        <v>100</v>
      </c>
      <c r="G3846" s="2463">
        <v>2.29838001744816E-14</v>
      </c>
    </row>
    <row r="3847" spans="1:7" x14ac:dyDescent="0.25">
      <c r="A3847" s="6" t="s">
        <v>6293</v>
      </c>
      <c r="B3847" s="6" t="s">
        <v>6295</v>
      </c>
      <c r="C3847" s="2456">
        <v>19779</v>
      </c>
      <c r="D3847" s="2456">
        <v>5463614693.3948603</v>
      </c>
      <c r="E3847" s="2457">
        <v>0</v>
      </c>
      <c r="F3847" s="2458">
        <v>100</v>
      </c>
      <c r="G3847" s="2459">
        <v>0</v>
      </c>
    </row>
    <row r="3848" spans="1:7" x14ac:dyDescent="0.25">
      <c r="A3848" s="3353" t="s">
        <v>812</v>
      </c>
      <c r="B3848" s="3354"/>
      <c r="C3848" s="3354"/>
      <c r="D3848" s="3354"/>
      <c r="E3848" s="3354"/>
      <c r="F3848" s="3354"/>
      <c r="G3848" s="3354"/>
    </row>
    <row r="3849" spans="1:7" x14ac:dyDescent="0.25">
      <c r="A3849" s="11" t="s">
        <v>984</v>
      </c>
      <c r="B3849" s="11" t="s">
        <v>6123</v>
      </c>
      <c r="C3849" s="2468">
        <v>10668</v>
      </c>
      <c r="D3849" s="2468">
        <v>2654438818.6353798</v>
      </c>
      <c r="E3849" s="2469">
        <v>90953646.682530299</v>
      </c>
      <c r="F3849" s="2470">
        <v>57.759948366436497</v>
      </c>
      <c r="G3849" s="2471">
        <v>1.5627627102489099</v>
      </c>
    </row>
    <row r="3850" spans="1:7" x14ac:dyDescent="0.25">
      <c r="A3850" s="6" t="s">
        <v>986</v>
      </c>
      <c r="B3850" s="6" t="s">
        <v>6124</v>
      </c>
      <c r="C3850" s="2464">
        <v>4191</v>
      </c>
      <c r="D3850" s="2464">
        <v>1189379287.3106501</v>
      </c>
      <c r="E3850" s="2465">
        <v>79831544.644634306</v>
      </c>
      <c r="F3850" s="2466">
        <v>25.8806063793512</v>
      </c>
      <c r="G3850" s="2467">
        <v>1.6834373805634699</v>
      </c>
    </row>
    <row r="3851" spans="1:7" x14ac:dyDescent="0.25">
      <c r="A3851" s="11" t="s">
        <v>1005</v>
      </c>
      <c r="B3851" s="11" t="s">
        <v>6135</v>
      </c>
      <c r="C3851" s="2468">
        <v>968</v>
      </c>
      <c r="D3851" s="2468">
        <v>347926485.77632099</v>
      </c>
      <c r="E3851" s="2469">
        <v>46130074.797265202</v>
      </c>
      <c r="F3851" s="2470">
        <v>7.5707964006069197</v>
      </c>
      <c r="G3851" s="2471">
        <v>0.96583471943761101</v>
      </c>
    </row>
    <row r="3852" spans="1:7" x14ac:dyDescent="0.25">
      <c r="A3852" s="6" t="s">
        <v>988</v>
      </c>
      <c r="B3852" s="6" t="s">
        <v>6125</v>
      </c>
      <c r="C3852" s="2464">
        <v>1034</v>
      </c>
      <c r="D3852" s="2464">
        <v>281291115.66410202</v>
      </c>
      <c r="E3852" s="2465">
        <v>45893104.023353003</v>
      </c>
      <c r="F3852" s="2466">
        <v>6.1208268213348802</v>
      </c>
      <c r="G3852" s="2467">
        <v>1.0510661702372099</v>
      </c>
    </row>
    <row r="3853" spans="1:7" x14ac:dyDescent="0.25">
      <c r="A3853" s="11" t="s">
        <v>990</v>
      </c>
      <c r="B3853" s="11" t="s">
        <v>6126</v>
      </c>
      <c r="C3853" s="2468">
        <v>300</v>
      </c>
      <c r="D3853" s="2468">
        <v>96791660.451023802</v>
      </c>
      <c r="E3853" s="2469">
        <v>22558095.353150401</v>
      </c>
      <c r="F3853" s="2470">
        <v>2.1061631824789702</v>
      </c>
      <c r="G3853" s="2471">
        <v>0.47929437331747199</v>
      </c>
    </row>
    <row r="3854" spans="1:7" x14ac:dyDescent="0.25">
      <c r="A3854" s="6" t="s">
        <v>992</v>
      </c>
      <c r="B3854" s="6" t="s">
        <v>6127</v>
      </c>
      <c r="C3854" s="2464">
        <v>44</v>
      </c>
      <c r="D3854" s="2464">
        <v>25589299.4332361</v>
      </c>
      <c r="E3854" s="2465">
        <v>13060331.6282872</v>
      </c>
      <c r="F3854" s="2466">
        <v>0.55681698279143099</v>
      </c>
      <c r="G3854" s="2467">
        <v>0.28390054346493998</v>
      </c>
    </row>
    <row r="3855" spans="1:7" x14ac:dyDescent="0.25">
      <c r="A3855" s="11" t="s">
        <v>1003</v>
      </c>
      <c r="B3855" s="11" t="s">
        <v>6129</v>
      </c>
      <c r="C3855" s="2468">
        <v>4</v>
      </c>
      <c r="D3855" s="2468">
        <v>112415.954378447</v>
      </c>
      <c r="E3855" s="2469">
        <v>83689.932630914205</v>
      </c>
      <c r="F3855" s="2470">
        <v>2.4461440493101401E-3</v>
      </c>
      <c r="G3855" s="2471">
        <v>1.8285245973815199E-3</v>
      </c>
    </row>
    <row r="3856" spans="1:7" x14ac:dyDescent="0.25">
      <c r="A3856" s="6" t="s">
        <v>1015</v>
      </c>
      <c r="B3856" s="6" t="s">
        <v>6131</v>
      </c>
      <c r="C3856" s="2464">
        <v>2</v>
      </c>
      <c r="D3856" s="2464">
        <v>55512.500184448603</v>
      </c>
      <c r="E3856" s="2465">
        <v>55822.872332007602</v>
      </c>
      <c r="F3856" s="2466">
        <v>1.20793861280025E-3</v>
      </c>
      <c r="G3856" s="2467">
        <v>1.21061437418237E-3</v>
      </c>
    </row>
    <row r="3857" spans="1:7" x14ac:dyDescent="0.25">
      <c r="A3857" s="11" t="s">
        <v>994</v>
      </c>
      <c r="B3857" s="11" t="s">
        <v>6128</v>
      </c>
      <c r="C3857" s="2468">
        <v>14</v>
      </c>
      <c r="D3857" s="2468">
        <v>54586.282434645596</v>
      </c>
      <c r="E3857" s="2469">
        <v>34184.947777526198</v>
      </c>
      <c r="F3857" s="2470">
        <v>1.1877843379949299E-3</v>
      </c>
      <c r="G3857" s="2471">
        <v>7.42452968349311E-4</v>
      </c>
    </row>
    <row r="3858" spans="1:7" x14ac:dyDescent="0.25">
      <c r="A3858" s="6" t="s">
        <v>982</v>
      </c>
      <c r="B3858" s="6" t="s">
        <v>983</v>
      </c>
      <c r="C3858" s="2464">
        <v>2527</v>
      </c>
      <c r="D3858" s="2464">
        <v>858845137.29121304</v>
      </c>
      <c r="E3858" s="2465">
        <v>75265755.656656101</v>
      </c>
      <c r="F3858" s="2466">
        <v>98.948083906039201</v>
      </c>
      <c r="G3858" s="2467">
        <v>0.61297776720214603</v>
      </c>
    </row>
    <row r="3859" spans="1:7" x14ac:dyDescent="0.25">
      <c r="A3859" s="11" t="s">
        <v>996</v>
      </c>
      <c r="B3859" s="11" t="s">
        <v>997</v>
      </c>
      <c r="C3859" s="2468">
        <v>27</v>
      </c>
      <c r="D3859" s="2468">
        <v>9130374.0959194601</v>
      </c>
      <c r="E3859" s="2469">
        <v>5139684.9497031998</v>
      </c>
      <c r="F3859" s="2470">
        <v>1.0519160939607599</v>
      </c>
      <c r="G3859" s="2471">
        <v>0.61297776720213903</v>
      </c>
    </row>
    <row r="3860" spans="1:7" x14ac:dyDescent="0.25">
      <c r="A3860" s="6" t="s">
        <v>6293</v>
      </c>
      <c r="B3860" s="6" t="s">
        <v>6294</v>
      </c>
      <c r="C3860" s="2464">
        <v>17225</v>
      </c>
      <c r="D3860" s="2464">
        <v>4595639182.0077</v>
      </c>
      <c r="E3860" s="2465">
        <v>80585053.607202202</v>
      </c>
      <c r="F3860" s="2466">
        <v>84.113529959635301</v>
      </c>
      <c r="G3860" s="2467">
        <v>1.2852392957500001</v>
      </c>
    </row>
    <row r="3861" spans="1:7" x14ac:dyDescent="0.25">
      <c r="A3861" s="11" t="s">
        <v>6293</v>
      </c>
      <c r="B3861" s="11" t="s">
        <v>6295</v>
      </c>
      <c r="C3861" s="2468">
        <v>19779</v>
      </c>
      <c r="D3861" s="2468">
        <v>5463614693.3948402</v>
      </c>
      <c r="E3861" s="2469">
        <v>0</v>
      </c>
      <c r="F3861" s="2470">
        <v>100</v>
      </c>
      <c r="G3861" s="2471">
        <v>0</v>
      </c>
    </row>
    <row r="3862" spans="1:7" x14ac:dyDescent="0.25">
      <c r="A3862" s="3353" t="s">
        <v>796</v>
      </c>
      <c r="B3862" s="3354"/>
      <c r="C3862" s="3354"/>
      <c r="D3862" s="3354"/>
      <c r="E3862" s="3354"/>
      <c r="F3862" s="3354"/>
      <c r="G3862" s="3354"/>
    </row>
    <row r="3863" spans="1:7" x14ac:dyDescent="0.25">
      <c r="A3863" s="11" t="s">
        <v>1017</v>
      </c>
      <c r="B3863" s="11"/>
      <c r="C3863" s="2476">
        <v>27</v>
      </c>
      <c r="D3863" s="2476">
        <v>27421520.286302902</v>
      </c>
      <c r="E3863" s="2477">
        <v>8431196.9100542609</v>
      </c>
      <c r="F3863" s="2478">
        <v>28.4064113096371</v>
      </c>
      <c r="G3863" s="2479">
        <v>10.925845795302999</v>
      </c>
    </row>
    <row r="3864" spans="1:7" x14ac:dyDescent="0.25">
      <c r="A3864" s="6" t="s">
        <v>6299</v>
      </c>
      <c r="B3864" s="6"/>
      <c r="C3864" s="2472">
        <v>32</v>
      </c>
      <c r="D3864" s="2472">
        <v>24330918.610161901</v>
      </c>
      <c r="E3864" s="2473">
        <v>9014417.7704078797</v>
      </c>
      <c r="F3864" s="2474">
        <v>25.204805363282301</v>
      </c>
      <c r="G3864" s="2475">
        <v>4.5505059140978501</v>
      </c>
    </row>
    <row r="3865" spans="1:7" x14ac:dyDescent="0.25">
      <c r="A3865" s="11" t="s">
        <v>6298</v>
      </c>
      <c r="B3865" s="11"/>
      <c r="C3865" s="2476">
        <v>9</v>
      </c>
      <c r="D3865" s="2476">
        <v>6103506.9933825498</v>
      </c>
      <c r="E3865" s="2477">
        <v>4020285.67540057</v>
      </c>
      <c r="F3865" s="2478">
        <v>6.3227249355636301</v>
      </c>
      <c r="G3865" s="2479">
        <v>3.21468574239542</v>
      </c>
    </row>
    <row r="3866" spans="1:7" x14ac:dyDescent="0.25">
      <c r="A3866" s="6" t="s">
        <v>6296</v>
      </c>
      <c r="B3866" s="6"/>
      <c r="C3866" s="2472">
        <v>6</v>
      </c>
      <c r="D3866" s="2472">
        <v>5930163.0069485698</v>
      </c>
      <c r="E3866" s="2473">
        <v>4161371.3129726001</v>
      </c>
      <c r="F3866" s="2474">
        <v>6.1431550019755399</v>
      </c>
      <c r="G3866" s="2475">
        <v>3.9663112262387501</v>
      </c>
    </row>
    <row r="3867" spans="1:7" x14ac:dyDescent="0.25">
      <c r="A3867" s="11" t="s">
        <v>1179</v>
      </c>
      <c r="B3867" s="11"/>
      <c r="C3867" s="2476">
        <v>7</v>
      </c>
      <c r="D3867" s="2476">
        <v>5557903.5943343705</v>
      </c>
      <c r="E3867" s="2477">
        <v>3390454.3455704199</v>
      </c>
      <c r="F3867" s="2478">
        <v>5.7575252528516501</v>
      </c>
      <c r="G3867" s="2479">
        <v>2.9227081921311502</v>
      </c>
    </row>
    <row r="3868" spans="1:7" x14ac:dyDescent="0.25">
      <c r="A3868" s="6" t="s">
        <v>6303</v>
      </c>
      <c r="B3868" s="6"/>
      <c r="C3868" s="2472">
        <v>3</v>
      </c>
      <c r="D3868" s="2472">
        <v>4929319.1125932997</v>
      </c>
      <c r="E3868" s="2473">
        <v>3612558.6145639499</v>
      </c>
      <c r="F3868" s="2474">
        <v>5.1063640792638001</v>
      </c>
      <c r="G3868" s="2475">
        <v>3.2594207984711501</v>
      </c>
    </row>
    <row r="3869" spans="1:7" x14ac:dyDescent="0.25">
      <c r="A3869" s="11" t="s">
        <v>1069</v>
      </c>
      <c r="B3869" s="11"/>
      <c r="C3869" s="2476">
        <v>3</v>
      </c>
      <c r="D3869" s="2476">
        <v>3674280.70126657</v>
      </c>
      <c r="E3869" s="2477">
        <v>2644482.2700478998</v>
      </c>
      <c r="F3869" s="2478">
        <v>3.8062488066853999</v>
      </c>
      <c r="G3869" s="2479">
        <v>2.6552288001756099</v>
      </c>
    </row>
    <row r="3870" spans="1:7" x14ac:dyDescent="0.25">
      <c r="A3870" s="6" t="s">
        <v>1021</v>
      </c>
      <c r="B3870" s="6"/>
      <c r="C3870" s="2472">
        <v>4</v>
      </c>
      <c r="D3870" s="2472">
        <v>3325132.19039908</v>
      </c>
      <c r="E3870" s="2473">
        <v>2428747.5194370202</v>
      </c>
      <c r="F3870" s="2474">
        <v>3.4445600270591599</v>
      </c>
      <c r="G3870" s="2475">
        <v>2.62171717878944</v>
      </c>
    </row>
    <row r="3871" spans="1:7" x14ac:dyDescent="0.25">
      <c r="A3871" s="11" t="s">
        <v>6297</v>
      </c>
      <c r="B3871" s="11"/>
      <c r="C3871" s="2476">
        <v>2</v>
      </c>
      <c r="D3871" s="2476">
        <v>3060056.24746515</v>
      </c>
      <c r="E3871" s="2477">
        <v>2387593.8770874199</v>
      </c>
      <c r="F3871" s="2478">
        <v>3.16996342611752</v>
      </c>
      <c r="G3871" s="2479">
        <v>2.63720900248599</v>
      </c>
    </row>
    <row r="3872" spans="1:7" x14ac:dyDescent="0.25">
      <c r="A3872" s="6" t="s">
        <v>1027</v>
      </c>
      <c r="B3872" s="6"/>
      <c r="C3872" s="2472">
        <v>14</v>
      </c>
      <c r="D3872" s="2472">
        <v>2999504.8262727698</v>
      </c>
      <c r="E3872" s="2473">
        <v>1450121.94109388</v>
      </c>
      <c r="F3872" s="2474">
        <v>3.10723719657899</v>
      </c>
      <c r="G3872" s="2475">
        <v>1.5618153011410401</v>
      </c>
    </row>
    <row r="3873" spans="1:7" x14ac:dyDescent="0.25">
      <c r="A3873" s="11" t="s">
        <v>1174</v>
      </c>
      <c r="B3873" s="11"/>
      <c r="C3873" s="2476">
        <v>15</v>
      </c>
      <c r="D3873" s="2476">
        <v>2894383.84170993</v>
      </c>
      <c r="E3873" s="2477">
        <v>2062362.94036127</v>
      </c>
      <c r="F3873" s="2478">
        <v>2.9983406112114199</v>
      </c>
      <c r="G3873" s="2479">
        <v>2.0099956763964801</v>
      </c>
    </row>
    <row r="3874" spans="1:7" x14ac:dyDescent="0.25">
      <c r="A3874" s="6" t="s">
        <v>1023</v>
      </c>
      <c r="B3874" s="6"/>
      <c r="C3874" s="2472">
        <v>1</v>
      </c>
      <c r="D3874" s="2472">
        <v>2124417.0803785198</v>
      </c>
      <c r="E3874" s="2473">
        <v>2064324.9198503899</v>
      </c>
      <c r="F3874" s="2474">
        <v>2.2007191705047102</v>
      </c>
      <c r="G3874" s="2475">
        <v>2.1628771288583599</v>
      </c>
    </row>
    <row r="3875" spans="1:7" x14ac:dyDescent="0.25">
      <c r="A3875" s="11" t="s">
        <v>3091</v>
      </c>
      <c r="B3875" s="11"/>
      <c r="C3875" s="2476">
        <v>1</v>
      </c>
      <c r="D3875" s="2476">
        <v>2124417.0803785198</v>
      </c>
      <c r="E3875" s="2477">
        <v>2064324.9198503899</v>
      </c>
      <c r="F3875" s="2478">
        <v>2.2007191705047102</v>
      </c>
      <c r="G3875" s="2479">
        <v>2.1628771288583599</v>
      </c>
    </row>
    <row r="3876" spans="1:7" x14ac:dyDescent="0.25">
      <c r="A3876" s="6" t="s">
        <v>1071</v>
      </c>
      <c r="B3876" s="6"/>
      <c r="C3876" s="2472">
        <v>3</v>
      </c>
      <c r="D3876" s="2472">
        <v>923197.61138215195</v>
      </c>
      <c r="E3876" s="2473">
        <v>916212.14563529799</v>
      </c>
      <c r="F3876" s="2474">
        <v>0.95635584005512697</v>
      </c>
      <c r="G3876" s="2475">
        <v>0.98124230952960001</v>
      </c>
    </row>
    <row r="3877" spans="1:7" x14ac:dyDescent="0.25">
      <c r="A3877" s="11" t="s">
        <v>6300</v>
      </c>
      <c r="B3877" s="11"/>
      <c r="C3877" s="2476">
        <v>2</v>
      </c>
      <c r="D3877" s="2476">
        <v>850461.16968580405</v>
      </c>
      <c r="E3877" s="2477">
        <v>684777.96441852394</v>
      </c>
      <c r="F3877" s="2478">
        <v>0.88100694406200597</v>
      </c>
      <c r="G3877" s="2479">
        <v>0.83790525906166602</v>
      </c>
    </row>
    <row r="3878" spans="1:7" x14ac:dyDescent="0.25">
      <c r="A3878" s="6" t="s">
        <v>6304</v>
      </c>
      <c r="B3878" s="6"/>
      <c r="C3878" s="2472">
        <v>1</v>
      </c>
      <c r="D3878" s="2472">
        <v>108039.91867882101</v>
      </c>
      <c r="E3878" s="2473">
        <v>114336.846879826</v>
      </c>
      <c r="F3878" s="2474">
        <v>0.111920358018345</v>
      </c>
      <c r="G3878" s="2475">
        <v>0.121652622195963</v>
      </c>
    </row>
    <row r="3879" spans="1:7" x14ac:dyDescent="0.25">
      <c r="A3879" s="11" t="s">
        <v>1185</v>
      </c>
      <c r="B3879" s="11"/>
      <c r="C3879" s="2476">
        <v>7</v>
      </c>
      <c r="D3879" s="2476">
        <v>103459.67601489701</v>
      </c>
      <c r="E3879" s="2477">
        <v>85311.000395734198</v>
      </c>
      <c r="F3879" s="2478">
        <v>0.107175608068272</v>
      </c>
      <c r="G3879" s="2479">
        <v>0.10287406619320499</v>
      </c>
    </row>
    <row r="3880" spans="1:7" x14ac:dyDescent="0.25">
      <c r="A3880" s="6" t="s">
        <v>6301</v>
      </c>
      <c r="B3880" s="6"/>
      <c r="C3880" s="2472">
        <v>2</v>
      </c>
      <c r="D3880" s="2472">
        <v>72174.622949289798</v>
      </c>
      <c r="E3880" s="2473">
        <v>74634.431119755405</v>
      </c>
      <c r="F3880" s="2474">
        <v>7.4766898560310296E-2</v>
      </c>
      <c r="G3880" s="2475">
        <v>8.3619397096259401E-2</v>
      </c>
    </row>
    <row r="3881" spans="1:7" x14ac:dyDescent="0.25">
      <c r="A3881" s="11" t="s">
        <v>982</v>
      </c>
      <c r="B3881" s="11" t="s">
        <v>983</v>
      </c>
      <c r="C3881" s="2476">
        <v>19639</v>
      </c>
      <c r="D3881" s="2476">
        <v>5367081836.8245001</v>
      </c>
      <c r="E3881" s="2477">
        <v>81924065.318397105</v>
      </c>
      <c r="F3881" s="2478">
        <v>100</v>
      </c>
      <c r="G3881" s="2479">
        <v>0</v>
      </c>
    </row>
    <row r="3882" spans="1:7" x14ac:dyDescent="0.25">
      <c r="A3882" s="6" t="s">
        <v>6293</v>
      </c>
      <c r="B3882" s="6" t="s">
        <v>6294</v>
      </c>
      <c r="C3882" s="2472">
        <v>139</v>
      </c>
      <c r="D3882" s="2472">
        <v>96532856.570305094</v>
      </c>
      <c r="E3882" s="2473">
        <v>26687694.7222399</v>
      </c>
      <c r="F3882" s="2474">
        <v>1.76683133763089</v>
      </c>
      <c r="G3882" s="2475">
        <v>0.49269552889700902</v>
      </c>
    </row>
    <row r="3883" spans="1:7" x14ac:dyDescent="0.25">
      <c r="A3883" s="11" t="s">
        <v>6293</v>
      </c>
      <c r="B3883" s="11" t="s">
        <v>6295</v>
      </c>
      <c r="C3883" s="2476">
        <v>19778</v>
      </c>
      <c r="D3883" s="2476">
        <v>5463614693.3948002</v>
      </c>
      <c r="E3883" s="2477">
        <v>0</v>
      </c>
      <c r="F3883" s="2478">
        <v>100</v>
      </c>
      <c r="G3883" s="2479">
        <v>0</v>
      </c>
    </row>
    <row r="3884" spans="1:7" x14ac:dyDescent="0.25">
      <c r="A3884" s="3353" t="s">
        <v>423</v>
      </c>
      <c r="B3884" s="3354"/>
      <c r="C3884" s="3354"/>
      <c r="D3884" s="3354"/>
      <c r="E3884" s="3354"/>
      <c r="F3884" s="3354"/>
      <c r="G3884" s="3354"/>
    </row>
    <row r="3885" spans="1:7" x14ac:dyDescent="0.25">
      <c r="A3885" s="11" t="s">
        <v>1174</v>
      </c>
      <c r="B3885" s="11"/>
      <c r="C3885" s="2484">
        <v>101</v>
      </c>
      <c r="D3885" s="2484">
        <v>57332172.101976298</v>
      </c>
      <c r="E3885" s="2485">
        <v>16285961.978125401</v>
      </c>
      <c r="F3885" s="2486">
        <v>59.391355584946503</v>
      </c>
      <c r="G3885" s="2487">
        <v>6.75780483763715</v>
      </c>
    </row>
    <row r="3886" spans="1:7" x14ac:dyDescent="0.25">
      <c r="A3886" s="6" t="s">
        <v>6296</v>
      </c>
      <c r="B3886" s="6"/>
      <c r="C3886" s="2480">
        <v>31</v>
      </c>
      <c r="D3886" s="2480">
        <v>26652858.9472945</v>
      </c>
      <c r="E3886" s="2481">
        <v>8663459.5071534701</v>
      </c>
      <c r="F3886" s="2482">
        <v>27.610142177739402</v>
      </c>
      <c r="G3886" s="2483">
        <v>4.8344596963236404</v>
      </c>
    </row>
    <row r="3887" spans="1:7" x14ac:dyDescent="0.25">
      <c r="A3887" s="11" t="s">
        <v>6298</v>
      </c>
      <c r="B3887" s="11"/>
      <c r="C3887" s="2484">
        <v>6</v>
      </c>
      <c r="D3887" s="2484">
        <v>9005969.96362352</v>
      </c>
      <c r="E3887" s="2485">
        <v>5657070.8379117604</v>
      </c>
      <c r="F3887" s="2486">
        <v>9.3294348510907792</v>
      </c>
      <c r="G3887" s="2487">
        <v>5.6742269039459901</v>
      </c>
    </row>
    <row r="3888" spans="1:7" x14ac:dyDescent="0.25">
      <c r="A3888" s="6" t="s">
        <v>6301</v>
      </c>
      <c r="B3888" s="6"/>
      <c r="C3888" s="2480">
        <v>1</v>
      </c>
      <c r="D3888" s="2480">
        <v>2422747.6498868698</v>
      </c>
      <c r="E3888" s="2481">
        <v>2432068.3299594498</v>
      </c>
      <c r="F3888" s="2482">
        <v>2.5097647950802902</v>
      </c>
      <c r="G3888" s="2483">
        <v>2.5969689147078099</v>
      </c>
    </row>
    <row r="3889" spans="1:7" x14ac:dyDescent="0.25">
      <c r="A3889" s="11" t="s">
        <v>6299</v>
      </c>
      <c r="B3889" s="11"/>
      <c r="C3889" s="2484">
        <v>1</v>
      </c>
      <c r="D3889" s="2484">
        <v>1119107.90752389</v>
      </c>
      <c r="E3889" s="2485">
        <v>1204696.3386202999</v>
      </c>
      <c r="F3889" s="2486">
        <v>1.1593025911429899</v>
      </c>
      <c r="G3889" s="2487">
        <v>1.3915827237603</v>
      </c>
    </row>
    <row r="3890" spans="1:7" x14ac:dyDescent="0.25">
      <c r="A3890" s="6" t="s">
        <v>982</v>
      </c>
      <c r="B3890" s="6" t="s">
        <v>983</v>
      </c>
      <c r="C3890" s="2480">
        <v>19639</v>
      </c>
      <c r="D3890" s="2480">
        <v>5367081836.8245001</v>
      </c>
      <c r="E3890" s="2481">
        <v>81924065.318397105</v>
      </c>
      <c r="F3890" s="2482">
        <v>100</v>
      </c>
      <c r="G3890" s="2483">
        <v>0</v>
      </c>
    </row>
    <row r="3891" spans="1:7" x14ac:dyDescent="0.25">
      <c r="A3891" s="11" t="s">
        <v>6293</v>
      </c>
      <c r="B3891" s="11" t="s">
        <v>6294</v>
      </c>
      <c r="C3891" s="2484">
        <v>140</v>
      </c>
      <c r="D3891" s="2484">
        <v>96532856.570305005</v>
      </c>
      <c r="E3891" s="2485">
        <v>26687694.7222399</v>
      </c>
      <c r="F3891" s="2486">
        <v>1.76683133763089</v>
      </c>
      <c r="G3891" s="2487">
        <v>0.49269552889700902</v>
      </c>
    </row>
    <row r="3892" spans="1:7" x14ac:dyDescent="0.25">
      <c r="A3892" s="6" t="s">
        <v>6293</v>
      </c>
      <c r="B3892" s="6" t="s">
        <v>6295</v>
      </c>
      <c r="C3892" s="2480">
        <v>19779</v>
      </c>
      <c r="D3892" s="2480">
        <v>5463614693.3948002</v>
      </c>
      <c r="E3892" s="2481">
        <v>0</v>
      </c>
      <c r="F3892" s="2482">
        <v>100</v>
      </c>
      <c r="G3892" s="2483">
        <v>0</v>
      </c>
    </row>
    <row r="3893" spans="1:7" x14ac:dyDescent="0.25">
      <c r="A3893" s="3353" t="s">
        <v>709</v>
      </c>
      <c r="B3893" s="3354"/>
      <c r="C3893" s="3354"/>
      <c r="D3893" s="3354"/>
      <c r="E3893" s="3354"/>
      <c r="F3893" s="3354"/>
      <c r="G3893" s="3354"/>
    </row>
    <row r="3894" spans="1:7" x14ac:dyDescent="0.25">
      <c r="A3894" s="11" t="s">
        <v>6299</v>
      </c>
      <c r="B3894" s="11"/>
      <c r="C3894" s="2492">
        <v>36</v>
      </c>
      <c r="D3894" s="2492">
        <v>19217908.138739601</v>
      </c>
      <c r="E3894" s="2493">
        <v>5368570.6304156603</v>
      </c>
      <c r="F3894" s="2494">
        <v>19.908152334374599</v>
      </c>
      <c r="G3894" s="2495">
        <v>7.7918510258093399</v>
      </c>
    </row>
    <row r="3895" spans="1:7" x14ac:dyDescent="0.25">
      <c r="A3895" s="6" t="s">
        <v>6297</v>
      </c>
      <c r="B3895" s="6"/>
      <c r="C3895" s="2488">
        <v>19</v>
      </c>
      <c r="D3895" s="2488">
        <v>18254253.231328599</v>
      </c>
      <c r="E3895" s="2489">
        <v>6430813.1480085403</v>
      </c>
      <c r="F3895" s="2490">
        <v>18.909886104980199</v>
      </c>
      <c r="G3895" s="2491">
        <v>6.8923160261869896</v>
      </c>
    </row>
    <row r="3896" spans="1:7" x14ac:dyDescent="0.25">
      <c r="A3896" s="11" t="s">
        <v>6296</v>
      </c>
      <c r="B3896" s="11"/>
      <c r="C3896" s="2492">
        <v>11</v>
      </c>
      <c r="D3896" s="2492">
        <v>16345276.9953302</v>
      </c>
      <c r="E3896" s="2493">
        <v>7874532.4271333897</v>
      </c>
      <c r="F3896" s="2494">
        <v>16.932345707003801</v>
      </c>
      <c r="G3896" s="2495">
        <v>6.22056768983333</v>
      </c>
    </row>
    <row r="3897" spans="1:7" x14ac:dyDescent="0.25">
      <c r="A3897" s="6" t="s">
        <v>6298</v>
      </c>
      <c r="B3897" s="6"/>
      <c r="C3897" s="2488">
        <v>10</v>
      </c>
      <c r="D3897" s="2488">
        <v>10651100.5494825</v>
      </c>
      <c r="E3897" s="2489">
        <v>5511873.7349818498</v>
      </c>
      <c r="F3897" s="2490">
        <v>11.033653128999999</v>
      </c>
      <c r="G3897" s="2491">
        <v>4.1153409123842</v>
      </c>
    </row>
    <row r="3898" spans="1:7" x14ac:dyDescent="0.25">
      <c r="A3898" s="11" t="s">
        <v>6300</v>
      </c>
      <c r="B3898" s="11"/>
      <c r="C3898" s="2492">
        <v>5</v>
      </c>
      <c r="D3898" s="2492">
        <v>6503480.3905652799</v>
      </c>
      <c r="E3898" s="2493">
        <v>4190421.09826707</v>
      </c>
      <c r="F3898" s="2494">
        <v>6.7370640646366704</v>
      </c>
      <c r="G3898" s="2495">
        <v>3.49973965034058</v>
      </c>
    </row>
    <row r="3899" spans="1:7" x14ac:dyDescent="0.25">
      <c r="A3899" s="6" t="s">
        <v>6301</v>
      </c>
      <c r="B3899" s="6"/>
      <c r="C3899" s="2488">
        <v>2</v>
      </c>
      <c r="D3899" s="2488">
        <v>4797759.5656918697</v>
      </c>
      <c r="E3899" s="2489">
        <v>3303520.1532367398</v>
      </c>
      <c r="F3899" s="2490">
        <v>4.9700793451581404</v>
      </c>
      <c r="G3899" s="2491">
        <v>3.2463615156014201</v>
      </c>
    </row>
    <row r="3900" spans="1:7" x14ac:dyDescent="0.25">
      <c r="A3900" s="11" t="s">
        <v>1174</v>
      </c>
      <c r="B3900" s="11"/>
      <c r="C3900" s="2492">
        <v>11</v>
      </c>
      <c r="D3900" s="2492">
        <v>4216017.3626627503</v>
      </c>
      <c r="E3900" s="2493">
        <v>3151825.3997848802</v>
      </c>
      <c r="F3900" s="2494">
        <v>4.3674428712178601</v>
      </c>
      <c r="G3900" s="2495">
        <v>2.75986143736678</v>
      </c>
    </row>
    <row r="3901" spans="1:7" x14ac:dyDescent="0.25">
      <c r="A3901" s="6" t="s">
        <v>1017</v>
      </c>
      <c r="B3901" s="6"/>
      <c r="C3901" s="2488">
        <v>11</v>
      </c>
      <c r="D3901" s="2488">
        <v>4084352.7180435602</v>
      </c>
      <c r="E3901" s="2489">
        <v>2114533.3708401402</v>
      </c>
      <c r="F3901" s="2490">
        <v>4.2310492646293101</v>
      </c>
      <c r="G3901" s="2491">
        <v>2.5717552228929699</v>
      </c>
    </row>
    <row r="3902" spans="1:7" x14ac:dyDescent="0.25">
      <c r="A3902" s="11" t="s">
        <v>6302</v>
      </c>
      <c r="B3902" s="11"/>
      <c r="C3902" s="2492">
        <v>3</v>
      </c>
      <c r="D3902" s="2492">
        <v>3533646.60897916</v>
      </c>
      <c r="E3902" s="2493">
        <v>2234149.0480039301</v>
      </c>
      <c r="F3902" s="2494">
        <v>3.6605635993021699</v>
      </c>
      <c r="G3902" s="2495">
        <v>1.9528219938514499</v>
      </c>
    </row>
    <row r="3903" spans="1:7" x14ac:dyDescent="0.25">
      <c r="A3903" s="6" t="s">
        <v>3054</v>
      </c>
      <c r="B3903" s="6"/>
      <c r="C3903" s="2488">
        <v>2</v>
      </c>
      <c r="D3903" s="2488">
        <v>2752577.6109120399</v>
      </c>
      <c r="E3903" s="2489">
        <v>2097091.6952174399</v>
      </c>
      <c r="F3903" s="2490">
        <v>2.8514411659488501</v>
      </c>
      <c r="G3903" s="2491">
        <v>1.8342173344683199</v>
      </c>
    </row>
    <row r="3904" spans="1:7" x14ac:dyDescent="0.25">
      <c r="A3904" s="11" t="s">
        <v>6303</v>
      </c>
      <c r="B3904" s="11"/>
      <c r="C3904" s="2492">
        <v>5</v>
      </c>
      <c r="D3904" s="2492">
        <v>2528640.3754478702</v>
      </c>
      <c r="E3904" s="2493">
        <v>2411009.9710584199</v>
      </c>
      <c r="F3904" s="2494">
        <v>2.6194608398501602</v>
      </c>
      <c r="G3904" s="2495">
        <v>2.55739593800363</v>
      </c>
    </row>
    <row r="3905" spans="1:7" x14ac:dyDescent="0.25">
      <c r="A3905" s="6" t="s">
        <v>1177</v>
      </c>
      <c r="B3905" s="6"/>
      <c r="C3905" s="2488">
        <v>5</v>
      </c>
      <c r="D3905" s="2488">
        <v>1273239.0326779301</v>
      </c>
      <c r="E3905" s="2489">
        <v>918067.70254489698</v>
      </c>
      <c r="F3905" s="2490">
        <v>1.3189696005221101</v>
      </c>
      <c r="G3905" s="2491">
        <v>1.0096376306527199</v>
      </c>
    </row>
    <row r="3906" spans="1:7" x14ac:dyDescent="0.25">
      <c r="A3906" s="11" t="s">
        <v>3060</v>
      </c>
      <c r="B3906" s="11"/>
      <c r="C3906" s="2492">
        <v>1</v>
      </c>
      <c r="D3906" s="2492">
        <v>889479.50877044396</v>
      </c>
      <c r="E3906" s="2493">
        <v>915498.89503902395</v>
      </c>
      <c r="F3906" s="2494">
        <v>0.92142669384556597</v>
      </c>
      <c r="G3906" s="2495">
        <v>0.98638519029499405</v>
      </c>
    </row>
    <row r="3907" spans="1:7" x14ac:dyDescent="0.25">
      <c r="A3907" s="6" t="s">
        <v>1027</v>
      </c>
      <c r="B3907" s="6"/>
      <c r="C3907" s="2488">
        <v>8</v>
      </c>
      <c r="D3907" s="2488">
        <v>677560.66226299002</v>
      </c>
      <c r="E3907" s="2489">
        <v>595514.14951618598</v>
      </c>
      <c r="F3907" s="2490">
        <v>0.70189641779586398</v>
      </c>
      <c r="G3907" s="2491">
        <v>0.71199486969995096</v>
      </c>
    </row>
    <row r="3908" spans="1:7" x14ac:dyDescent="0.25">
      <c r="A3908" s="11" t="s">
        <v>3069</v>
      </c>
      <c r="B3908" s="11"/>
      <c r="C3908" s="2492">
        <v>1</v>
      </c>
      <c r="D3908" s="2492">
        <v>626172.19055104803</v>
      </c>
      <c r="E3908" s="2493">
        <v>656274.66258360306</v>
      </c>
      <c r="F3908" s="2494">
        <v>0.64866224081435497</v>
      </c>
      <c r="G3908" s="2495">
        <v>0.67621296560779698</v>
      </c>
    </row>
    <row r="3909" spans="1:7" x14ac:dyDescent="0.25">
      <c r="A3909" s="6" t="s">
        <v>1181</v>
      </c>
      <c r="B3909" s="6"/>
      <c r="C3909" s="2488">
        <v>1</v>
      </c>
      <c r="D3909" s="2488">
        <v>97800.423054298502</v>
      </c>
      <c r="E3909" s="2489">
        <v>98879.471488273193</v>
      </c>
      <c r="F3909" s="2490">
        <v>0.101313093312504</v>
      </c>
      <c r="G3909" s="2491">
        <v>0.11092603131084799</v>
      </c>
    </row>
    <row r="3910" spans="1:7" x14ac:dyDescent="0.25">
      <c r="A3910" s="11" t="s">
        <v>1179</v>
      </c>
      <c r="B3910" s="11"/>
      <c r="C3910" s="2492">
        <v>3</v>
      </c>
      <c r="D3910" s="2492">
        <v>47951.279887171098</v>
      </c>
      <c r="E3910" s="2493">
        <v>52207.885235566202</v>
      </c>
      <c r="F3910" s="2494">
        <v>4.9673532505741302E-2</v>
      </c>
      <c r="G3910" s="2495">
        <v>5.7974427934520498E-2</v>
      </c>
    </row>
    <row r="3911" spans="1:7" x14ac:dyDescent="0.25">
      <c r="A3911" s="6" t="s">
        <v>6471</v>
      </c>
      <c r="B3911" s="6"/>
      <c r="C3911" s="2488">
        <v>1</v>
      </c>
      <c r="D3911" s="2488">
        <v>29445.891977491399</v>
      </c>
      <c r="E3911" s="2489">
        <v>29712.319852577199</v>
      </c>
      <c r="F3911" s="2490">
        <v>3.0503491788876999E-2</v>
      </c>
      <c r="G3911" s="2491">
        <v>3.4361070390309598E-2</v>
      </c>
    </row>
    <row r="3912" spans="1:7" x14ac:dyDescent="0.25">
      <c r="A3912" s="11" t="s">
        <v>6725</v>
      </c>
      <c r="B3912" s="11"/>
      <c r="C3912" s="2492">
        <v>1</v>
      </c>
      <c r="D3912" s="2492">
        <v>6194.0339402285999</v>
      </c>
      <c r="E3912" s="2493">
        <v>6611.5536813197104</v>
      </c>
      <c r="F3912" s="2494">
        <v>6.4165033132708299E-3</v>
      </c>
      <c r="G3912" s="2495">
        <v>7.2381904856876102E-3</v>
      </c>
    </row>
    <row r="3913" spans="1:7" x14ac:dyDescent="0.25">
      <c r="A3913" s="6" t="s">
        <v>982</v>
      </c>
      <c r="B3913" s="6" t="s">
        <v>983</v>
      </c>
      <c r="C3913" s="2488">
        <v>19638</v>
      </c>
      <c r="D3913" s="2488">
        <v>5364627146.2495003</v>
      </c>
      <c r="E3913" s="2489">
        <v>82997450.018932</v>
      </c>
      <c r="F3913" s="2490">
        <v>99.9542639622493</v>
      </c>
      <c r="G3913" s="2491">
        <v>4.5229637954230899E-2</v>
      </c>
    </row>
    <row r="3914" spans="1:7" x14ac:dyDescent="0.25">
      <c r="A3914" s="11" t="s">
        <v>996</v>
      </c>
      <c r="B3914" s="11" t="s">
        <v>997</v>
      </c>
      <c r="C3914" s="2492">
        <v>3</v>
      </c>
      <c r="D3914" s="2492">
        <v>2454690.57500102</v>
      </c>
      <c r="E3914" s="2493">
        <v>2424244.66334497</v>
      </c>
      <c r="F3914" s="2494">
        <v>4.57360377507001E-2</v>
      </c>
      <c r="G3914" s="2495">
        <v>4.5229637954219699E-2</v>
      </c>
    </row>
    <row r="3915" spans="1:7" x14ac:dyDescent="0.25">
      <c r="A3915" s="6" t="s">
        <v>6293</v>
      </c>
      <c r="B3915" s="6" t="s">
        <v>6294</v>
      </c>
      <c r="C3915" s="2488">
        <v>136</v>
      </c>
      <c r="D3915" s="2488">
        <v>96532856.570305094</v>
      </c>
      <c r="E3915" s="2489">
        <v>26687694.7222399</v>
      </c>
      <c r="F3915" s="2490">
        <v>1.76683133763089</v>
      </c>
      <c r="G3915" s="2491">
        <v>0.49269552889700802</v>
      </c>
    </row>
    <row r="3916" spans="1:7" x14ac:dyDescent="0.25">
      <c r="A3916" s="11" t="s">
        <v>6293</v>
      </c>
      <c r="B3916" s="11" t="s">
        <v>6295</v>
      </c>
      <c r="C3916" s="2492">
        <v>19777</v>
      </c>
      <c r="D3916" s="2492">
        <v>5463614693.3948002</v>
      </c>
      <c r="E3916" s="2493">
        <v>0</v>
      </c>
      <c r="F3916" s="2494">
        <v>100</v>
      </c>
      <c r="G3916" s="2495">
        <v>0</v>
      </c>
    </row>
    <row r="3917" spans="1:7" x14ac:dyDescent="0.25">
      <c r="A3917" s="3353" t="s">
        <v>154</v>
      </c>
      <c r="B3917" s="3354"/>
      <c r="C3917" s="3354"/>
      <c r="D3917" s="3354"/>
      <c r="E3917" s="3354"/>
      <c r="F3917" s="3354"/>
      <c r="G3917" s="3354"/>
    </row>
    <row r="3918" spans="1:7" x14ac:dyDescent="0.25">
      <c r="A3918" s="11" t="s">
        <v>986</v>
      </c>
      <c r="B3918" s="11" t="s">
        <v>1156</v>
      </c>
      <c r="C3918" s="2500">
        <v>5</v>
      </c>
      <c r="D3918" s="2500">
        <v>2487602.21425561</v>
      </c>
      <c r="E3918" s="2501">
        <v>2415245.4472489702</v>
      </c>
      <c r="F3918" s="2502">
        <v>66.229485511997694</v>
      </c>
      <c r="G3918" s="2503">
        <v>64.841760065716201</v>
      </c>
    </row>
    <row r="3919" spans="1:7" x14ac:dyDescent="0.25">
      <c r="A3919" s="6" t="s">
        <v>984</v>
      </c>
      <c r="B3919" s="6" t="s">
        <v>1155</v>
      </c>
      <c r="C3919" s="2496">
        <v>3</v>
      </c>
      <c r="D3919" s="2496">
        <v>1268432.11852654</v>
      </c>
      <c r="E3919" s="2497">
        <v>1313167.29878268</v>
      </c>
      <c r="F3919" s="2498">
        <v>33.770514488002298</v>
      </c>
      <c r="G3919" s="2499">
        <v>64.841760065716201</v>
      </c>
    </row>
    <row r="3920" spans="1:7" x14ac:dyDescent="0.25">
      <c r="A3920" s="11" t="s">
        <v>982</v>
      </c>
      <c r="B3920" s="11" t="s">
        <v>983</v>
      </c>
      <c r="C3920" s="2500">
        <v>19771</v>
      </c>
      <c r="D3920" s="2500">
        <v>5459858659.0620203</v>
      </c>
      <c r="E3920" s="2501">
        <v>73132705.502733499</v>
      </c>
      <c r="F3920" s="2502">
        <v>100</v>
      </c>
      <c r="G3920" s="2503">
        <v>0</v>
      </c>
    </row>
    <row r="3921" spans="1:7" x14ac:dyDescent="0.25">
      <c r="A3921" s="6" t="s">
        <v>6293</v>
      </c>
      <c r="B3921" s="6" t="s">
        <v>6294</v>
      </c>
      <c r="C3921" s="2496">
        <v>8</v>
      </c>
      <c r="D3921" s="2496">
        <v>3756034.3327821498</v>
      </c>
      <c r="E3921" s="2497">
        <v>2746811.1216183198</v>
      </c>
      <c r="F3921" s="2498">
        <v>6.8746325346166606E-2</v>
      </c>
      <c r="G3921" s="2499">
        <v>5.0389930521425798E-2</v>
      </c>
    </row>
    <row r="3922" spans="1:7" x14ac:dyDescent="0.25">
      <c r="A3922" s="11" t="s">
        <v>6293</v>
      </c>
      <c r="B3922" s="11" t="s">
        <v>6295</v>
      </c>
      <c r="C3922" s="2500">
        <v>19779</v>
      </c>
      <c r="D3922" s="2500">
        <v>5463614693.3948002</v>
      </c>
      <c r="E3922" s="2501">
        <v>0</v>
      </c>
      <c r="F3922" s="2502">
        <v>100</v>
      </c>
      <c r="G3922" s="2503">
        <v>0</v>
      </c>
    </row>
    <row r="3923" spans="1:7" x14ac:dyDescent="0.25">
      <c r="A3923" s="3353" t="s">
        <v>766</v>
      </c>
      <c r="B3923" s="3354"/>
      <c r="C3923" s="3354"/>
      <c r="D3923" s="3354"/>
      <c r="E3923" s="3354"/>
      <c r="F3923" s="3354"/>
      <c r="G3923" s="3354"/>
    </row>
    <row r="3924" spans="1:7" x14ac:dyDescent="0.25">
      <c r="A3924" s="11" t="s">
        <v>6297</v>
      </c>
      <c r="B3924" s="11"/>
      <c r="C3924" s="2508">
        <v>16</v>
      </c>
      <c r="D3924" s="2508">
        <v>17800171.734675098</v>
      </c>
      <c r="E3924" s="2509">
        <v>6319310.9207432996</v>
      </c>
      <c r="F3924" s="2510">
        <v>18.610982047636099</v>
      </c>
      <c r="G3924" s="2511">
        <v>5.85975653541567</v>
      </c>
    </row>
    <row r="3925" spans="1:7" x14ac:dyDescent="0.25">
      <c r="A3925" s="6" t="s">
        <v>6296</v>
      </c>
      <c r="B3925" s="6"/>
      <c r="C3925" s="2504">
        <v>18</v>
      </c>
      <c r="D3925" s="2504">
        <v>17010970.220431101</v>
      </c>
      <c r="E3925" s="2505">
        <v>7114688.8146411702</v>
      </c>
      <c r="F3925" s="2506">
        <v>17.7858318506327</v>
      </c>
      <c r="G3925" s="2507">
        <v>4.6530362662718696</v>
      </c>
    </row>
    <row r="3926" spans="1:7" x14ac:dyDescent="0.25">
      <c r="A3926" s="11" t="s">
        <v>6299</v>
      </c>
      <c r="B3926" s="11"/>
      <c r="C3926" s="2508">
        <v>24</v>
      </c>
      <c r="D3926" s="2508">
        <v>13988610.913470199</v>
      </c>
      <c r="E3926" s="2509">
        <v>5688424.3957261303</v>
      </c>
      <c r="F3926" s="2510">
        <v>14.625801956439</v>
      </c>
      <c r="G3926" s="2511">
        <v>6.3909770353459603</v>
      </c>
    </row>
    <row r="3927" spans="1:7" x14ac:dyDescent="0.25">
      <c r="A3927" s="6" t="s">
        <v>6300</v>
      </c>
      <c r="B3927" s="6"/>
      <c r="C3927" s="2504">
        <v>8</v>
      </c>
      <c r="D3927" s="2504">
        <v>9850318.00620557</v>
      </c>
      <c r="E3927" s="2505">
        <v>5245580.4058878701</v>
      </c>
      <c r="F3927" s="2506">
        <v>10.2990069033929</v>
      </c>
      <c r="G3927" s="2507">
        <v>4.2250918443563101</v>
      </c>
    </row>
    <row r="3928" spans="1:7" x14ac:dyDescent="0.25">
      <c r="A3928" s="11" t="s">
        <v>1179</v>
      </c>
      <c r="B3928" s="11"/>
      <c r="C3928" s="2508">
        <v>11</v>
      </c>
      <c r="D3928" s="2508">
        <v>7794408.6161128897</v>
      </c>
      <c r="E3928" s="2509">
        <v>4418090.9507703502</v>
      </c>
      <c r="F3928" s="2510">
        <v>8.14944939794227</v>
      </c>
      <c r="G3928" s="2511">
        <v>3.22520794072984</v>
      </c>
    </row>
    <row r="3929" spans="1:7" x14ac:dyDescent="0.25">
      <c r="A3929" s="6" t="s">
        <v>1017</v>
      </c>
      <c r="B3929" s="6"/>
      <c r="C3929" s="2504">
        <v>14</v>
      </c>
      <c r="D3929" s="2504">
        <v>6420419.5370042697</v>
      </c>
      <c r="E3929" s="2505">
        <v>2621682.6372866998</v>
      </c>
      <c r="F3929" s="2506">
        <v>6.7128741521470197</v>
      </c>
      <c r="G3929" s="2507">
        <v>2.9671943945170098</v>
      </c>
    </row>
    <row r="3930" spans="1:7" x14ac:dyDescent="0.25">
      <c r="A3930" s="11" t="s">
        <v>6301</v>
      </c>
      <c r="B3930" s="11"/>
      <c r="C3930" s="2508">
        <v>4</v>
      </c>
      <c r="D3930" s="2508">
        <v>6305700.6782632601</v>
      </c>
      <c r="E3930" s="2509">
        <v>3839620.0837930399</v>
      </c>
      <c r="F3930" s="2510">
        <v>6.5929297688917101</v>
      </c>
      <c r="G3930" s="2511">
        <v>3.84328338573911</v>
      </c>
    </row>
    <row r="3931" spans="1:7" x14ac:dyDescent="0.25">
      <c r="A3931" s="6" t="s">
        <v>6298</v>
      </c>
      <c r="B3931" s="6"/>
      <c r="C3931" s="2504">
        <v>7</v>
      </c>
      <c r="D3931" s="2504">
        <v>6303438.1017839098</v>
      </c>
      <c r="E3931" s="2505">
        <v>4893480.9862239398</v>
      </c>
      <c r="F3931" s="2506">
        <v>6.5905641304660696</v>
      </c>
      <c r="G3931" s="2507">
        <v>5.2319414970478499</v>
      </c>
    </row>
    <row r="3932" spans="1:7" x14ac:dyDescent="0.25">
      <c r="A3932" s="11" t="s">
        <v>6303</v>
      </c>
      <c r="B3932" s="11"/>
      <c r="C3932" s="2508">
        <v>4</v>
      </c>
      <c r="D3932" s="2508">
        <v>3593175.8366262899</v>
      </c>
      <c r="E3932" s="2509">
        <v>2182467.2093398501</v>
      </c>
      <c r="F3932" s="2510">
        <v>3.75684751732943</v>
      </c>
      <c r="G3932" s="2511">
        <v>2.2551392775008301</v>
      </c>
    </row>
    <row r="3933" spans="1:7" x14ac:dyDescent="0.25">
      <c r="A3933" s="6" t="s">
        <v>3069</v>
      </c>
      <c r="B3933" s="6"/>
      <c r="C3933" s="2504">
        <v>2</v>
      </c>
      <c r="D3933" s="2504">
        <v>1252344.3811021</v>
      </c>
      <c r="E3933" s="2505">
        <v>1312549.3251672101</v>
      </c>
      <c r="F3933" s="2506">
        <v>1.3093895464359899</v>
      </c>
      <c r="G3933" s="2507">
        <v>1.3665212152260799</v>
      </c>
    </row>
    <row r="3934" spans="1:7" x14ac:dyDescent="0.25">
      <c r="A3934" s="11" t="s">
        <v>3054</v>
      </c>
      <c r="B3934" s="11"/>
      <c r="C3934" s="2508">
        <v>2</v>
      </c>
      <c r="D3934" s="2508">
        <v>1141389.75679554</v>
      </c>
      <c r="E3934" s="2509">
        <v>819328.33122887101</v>
      </c>
      <c r="F3934" s="2510">
        <v>1.1933808611350001</v>
      </c>
      <c r="G3934" s="2511">
        <v>0.99383063774788805</v>
      </c>
    </row>
    <row r="3935" spans="1:7" x14ac:dyDescent="0.25">
      <c r="A3935" s="6" t="s">
        <v>1177</v>
      </c>
      <c r="B3935" s="6"/>
      <c r="C3935" s="2504">
        <v>3</v>
      </c>
      <c r="D3935" s="2504">
        <v>898576.92839446303</v>
      </c>
      <c r="E3935" s="2505">
        <v>824482.88426628301</v>
      </c>
      <c r="F3935" s="2506">
        <v>0.93950773801759502</v>
      </c>
      <c r="G3935" s="2507">
        <v>0.87102413330042805</v>
      </c>
    </row>
    <row r="3936" spans="1:7" x14ac:dyDescent="0.25">
      <c r="A3936" s="11" t="s">
        <v>1027</v>
      </c>
      <c r="B3936" s="11"/>
      <c r="C3936" s="2508">
        <v>5</v>
      </c>
      <c r="D3936" s="2508">
        <v>898273.21262772602</v>
      </c>
      <c r="E3936" s="2509">
        <v>606610.69182370603</v>
      </c>
      <c r="F3936" s="2510">
        <v>0.93919018778456398</v>
      </c>
      <c r="G3936" s="2511">
        <v>0.76345025410561895</v>
      </c>
    </row>
    <row r="3937" spans="1:7" x14ac:dyDescent="0.25">
      <c r="A3937" s="6" t="s">
        <v>6302</v>
      </c>
      <c r="B3937" s="6"/>
      <c r="C3937" s="2504">
        <v>2</v>
      </c>
      <c r="D3937" s="2504">
        <v>896191.80435322796</v>
      </c>
      <c r="E3937" s="2505">
        <v>942154.24604439503</v>
      </c>
      <c r="F3937" s="2506">
        <v>0.93701396990263097</v>
      </c>
      <c r="G3937" s="2507">
        <v>1.0204776044219701</v>
      </c>
    </row>
    <row r="3938" spans="1:7" x14ac:dyDescent="0.25">
      <c r="A3938" s="11" t="s">
        <v>3060</v>
      </c>
      <c r="B3938" s="11"/>
      <c r="C3938" s="2508">
        <v>1</v>
      </c>
      <c r="D3938" s="2508">
        <v>889479.50877044396</v>
      </c>
      <c r="E3938" s="2509">
        <v>915498.89503902395</v>
      </c>
      <c r="F3938" s="2510">
        <v>0.92999592454600899</v>
      </c>
      <c r="G3938" s="2511">
        <v>0.998314989507331</v>
      </c>
    </row>
    <row r="3939" spans="1:7" x14ac:dyDescent="0.25">
      <c r="A3939" s="6" t="s">
        <v>1174</v>
      </c>
      <c r="B3939" s="6"/>
      <c r="C3939" s="2504">
        <v>10</v>
      </c>
      <c r="D3939" s="2504">
        <v>554374.19551655801</v>
      </c>
      <c r="E3939" s="2505">
        <v>278913.45205278398</v>
      </c>
      <c r="F3939" s="2506">
        <v>0.57962632912876699</v>
      </c>
      <c r="G3939" s="2507">
        <v>0.36448736726370301</v>
      </c>
    </row>
    <row r="3940" spans="1:7" x14ac:dyDescent="0.25">
      <c r="A3940" s="11" t="s">
        <v>6471</v>
      </c>
      <c r="B3940" s="11"/>
      <c r="C3940" s="2508">
        <v>1</v>
      </c>
      <c r="D3940" s="2508">
        <v>29445.891977491399</v>
      </c>
      <c r="E3940" s="2509">
        <v>29712.319852577199</v>
      </c>
      <c r="F3940" s="2510">
        <v>3.0787173019357801E-2</v>
      </c>
      <c r="G3940" s="2511">
        <v>3.4721304309044201E-2</v>
      </c>
    </row>
    <row r="3941" spans="1:7" x14ac:dyDescent="0.25">
      <c r="A3941" s="6" t="s">
        <v>1185</v>
      </c>
      <c r="B3941" s="6"/>
      <c r="C3941" s="2504">
        <v>2</v>
      </c>
      <c r="D3941" s="2504">
        <v>16087.737424442101</v>
      </c>
      <c r="E3941" s="2505">
        <v>16687.697479438099</v>
      </c>
      <c r="F3941" s="2506">
        <v>1.6820545152950499E-2</v>
      </c>
      <c r="G3941" s="2507">
        <v>1.7553607991773301E-2</v>
      </c>
    </row>
    <row r="3942" spans="1:7" x14ac:dyDescent="0.25">
      <c r="A3942" s="11" t="s">
        <v>982</v>
      </c>
      <c r="B3942" s="11" t="s">
        <v>983</v>
      </c>
      <c r="C3942" s="2508">
        <v>19639</v>
      </c>
      <c r="D3942" s="2508">
        <v>5367081836.8245001</v>
      </c>
      <c r="E3942" s="2509">
        <v>81924065.318397105</v>
      </c>
      <c r="F3942" s="2510">
        <v>99.983429875900001</v>
      </c>
      <c r="G3942" s="2511">
        <v>1.7054469528274E-2</v>
      </c>
    </row>
    <row r="3943" spans="1:7" x14ac:dyDescent="0.25">
      <c r="A3943" s="6" t="s">
        <v>996</v>
      </c>
      <c r="B3943" s="6" t="s">
        <v>997</v>
      </c>
      <c r="C3943" s="2504">
        <v>3</v>
      </c>
      <c r="D3943" s="2504">
        <v>889479.50877044396</v>
      </c>
      <c r="E3943" s="2505">
        <v>915498.89503902395</v>
      </c>
      <c r="F3943" s="2506">
        <v>1.6570124100030101E-2</v>
      </c>
      <c r="G3943" s="2507">
        <v>1.7054469528276599E-2</v>
      </c>
    </row>
    <row r="3944" spans="1:7" x14ac:dyDescent="0.25">
      <c r="A3944" s="11" t="s">
        <v>6293</v>
      </c>
      <c r="B3944" s="11" t="s">
        <v>6294</v>
      </c>
      <c r="C3944" s="2508">
        <v>134</v>
      </c>
      <c r="D3944" s="2508">
        <v>95643377.061534598</v>
      </c>
      <c r="E3944" s="2509">
        <v>26519724.478268001</v>
      </c>
      <c r="F3944" s="2510">
        <v>1.7505512820507301</v>
      </c>
      <c r="G3944" s="2511">
        <v>0.48963455737264699</v>
      </c>
    </row>
    <row r="3945" spans="1:7" x14ac:dyDescent="0.25">
      <c r="A3945" s="6" t="s">
        <v>6293</v>
      </c>
      <c r="B3945" s="6" t="s">
        <v>6295</v>
      </c>
      <c r="C3945" s="2504">
        <v>19776</v>
      </c>
      <c r="D3945" s="2504">
        <v>5463614693.3948002</v>
      </c>
      <c r="E3945" s="2505">
        <v>0</v>
      </c>
      <c r="F3945" s="2506">
        <v>100</v>
      </c>
      <c r="G3945" s="2507">
        <v>0</v>
      </c>
    </row>
    <row r="3946" spans="1:7" x14ac:dyDescent="0.25">
      <c r="A3946" s="3353" t="s">
        <v>889</v>
      </c>
      <c r="B3946" s="3354"/>
      <c r="C3946" s="3354"/>
      <c r="D3946" s="3354"/>
      <c r="E3946" s="3354"/>
      <c r="F3946" s="3354"/>
      <c r="G3946" s="3354"/>
    </row>
    <row r="3947" spans="1:7" x14ac:dyDescent="0.25">
      <c r="A3947" s="11" t="s">
        <v>984</v>
      </c>
      <c r="B3947" s="11" t="s">
        <v>6148</v>
      </c>
      <c r="C3947" s="2516">
        <v>11102</v>
      </c>
      <c r="D3947" s="2516">
        <v>2676397532.0425801</v>
      </c>
      <c r="E3947" s="2517">
        <v>88530655.604815006</v>
      </c>
      <c r="F3947" s="2518">
        <v>58.038880125312502</v>
      </c>
      <c r="G3947" s="2519">
        <v>1.6555030096396799</v>
      </c>
    </row>
    <row r="3948" spans="1:7" x14ac:dyDescent="0.25">
      <c r="A3948" s="6" t="s">
        <v>986</v>
      </c>
      <c r="B3948" s="6" t="s">
        <v>3019</v>
      </c>
      <c r="C3948" s="2512">
        <v>4699</v>
      </c>
      <c r="D3948" s="2512">
        <v>1302662959.74596</v>
      </c>
      <c r="E3948" s="2513">
        <v>93750734.859893903</v>
      </c>
      <c r="F3948" s="2514">
        <v>28.248830175344001</v>
      </c>
      <c r="G3948" s="2515">
        <v>1.9437319490360101</v>
      </c>
    </row>
    <row r="3949" spans="1:7" x14ac:dyDescent="0.25">
      <c r="A3949" s="11" t="s">
        <v>988</v>
      </c>
      <c r="B3949" s="11" t="s">
        <v>3020</v>
      </c>
      <c r="C3949" s="2516">
        <v>590</v>
      </c>
      <c r="D3949" s="2516">
        <v>271997205.98000598</v>
      </c>
      <c r="E3949" s="2517">
        <v>56267479.7824241</v>
      </c>
      <c r="F3949" s="2518">
        <v>5.8983813291165301</v>
      </c>
      <c r="G3949" s="2519">
        <v>1.24882683965302</v>
      </c>
    </row>
    <row r="3950" spans="1:7" x14ac:dyDescent="0.25">
      <c r="A3950" s="6" t="s">
        <v>1005</v>
      </c>
      <c r="B3950" s="6" t="s">
        <v>6149</v>
      </c>
      <c r="C3950" s="2512">
        <v>749</v>
      </c>
      <c r="D3950" s="2512">
        <v>257984186.54638401</v>
      </c>
      <c r="E3950" s="2513">
        <v>40201374.692986898</v>
      </c>
      <c r="F3950" s="2514">
        <v>5.5945027216358998</v>
      </c>
      <c r="G3950" s="2515">
        <v>0.84655608777561797</v>
      </c>
    </row>
    <row r="3951" spans="1:7" x14ac:dyDescent="0.25">
      <c r="A3951" s="11" t="s">
        <v>990</v>
      </c>
      <c r="B3951" s="11" t="s">
        <v>3021</v>
      </c>
      <c r="C3951" s="2516">
        <v>87</v>
      </c>
      <c r="D3951" s="2516">
        <v>66349530.957267202</v>
      </c>
      <c r="E3951" s="2517">
        <v>18473705.598176401</v>
      </c>
      <c r="F3951" s="2518">
        <v>1.43881931869091</v>
      </c>
      <c r="G3951" s="2519">
        <v>0.38748649621511899</v>
      </c>
    </row>
    <row r="3952" spans="1:7" x14ac:dyDescent="0.25">
      <c r="A3952" s="6" t="s">
        <v>992</v>
      </c>
      <c r="B3952" s="6" t="s">
        <v>3022</v>
      </c>
      <c r="C3952" s="2512">
        <v>31</v>
      </c>
      <c r="D3952" s="2512">
        <v>27936733.813659199</v>
      </c>
      <c r="E3952" s="2513">
        <v>16120051.4026995</v>
      </c>
      <c r="F3952" s="2514">
        <v>0.60582059484500095</v>
      </c>
      <c r="G3952" s="2515">
        <v>0.350561280108869</v>
      </c>
    </row>
    <row r="3953" spans="1:7" x14ac:dyDescent="0.25">
      <c r="A3953" s="11" t="s">
        <v>994</v>
      </c>
      <c r="B3953" s="11" t="s">
        <v>3023</v>
      </c>
      <c r="C3953" s="2516">
        <v>12</v>
      </c>
      <c r="D3953" s="2516">
        <v>5897679.2771995999</v>
      </c>
      <c r="E3953" s="2517">
        <v>4737720.9854695704</v>
      </c>
      <c r="F3953" s="2518">
        <v>0.12789381864572799</v>
      </c>
      <c r="G3953" s="2519">
        <v>0.103108581472611</v>
      </c>
    </row>
    <row r="3954" spans="1:7" x14ac:dyDescent="0.25">
      <c r="A3954" s="6" t="s">
        <v>1003</v>
      </c>
      <c r="B3954" s="6" t="s">
        <v>3024</v>
      </c>
      <c r="C3954" s="2512">
        <v>13</v>
      </c>
      <c r="D3954" s="2512">
        <v>2161445.5883567999</v>
      </c>
      <c r="E3954" s="2513">
        <v>1458847.54485564</v>
      </c>
      <c r="F3954" s="2514">
        <v>4.6871916409325899E-2</v>
      </c>
      <c r="G3954" s="2515">
        <v>3.1775913608909301E-2</v>
      </c>
    </row>
    <row r="3955" spans="1:7" x14ac:dyDescent="0.25">
      <c r="A3955" s="11" t="s">
        <v>982</v>
      </c>
      <c r="B3955" s="11" t="s">
        <v>983</v>
      </c>
      <c r="C3955" s="2516">
        <v>2496</v>
      </c>
      <c r="D3955" s="2516">
        <v>852227419.44343305</v>
      </c>
      <c r="E3955" s="2517">
        <v>75976104.214897096</v>
      </c>
      <c r="F3955" s="2518">
        <v>100</v>
      </c>
      <c r="G3955" s="2519">
        <v>0</v>
      </c>
    </row>
    <row r="3956" spans="1:7" x14ac:dyDescent="0.25">
      <c r="A3956" s="6" t="s">
        <v>6293</v>
      </c>
      <c r="B3956" s="6" t="s">
        <v>6294</v>
      </c>
      <c r="C3956" s="2512">
        <v>17283</v>
      </c>
      <c r="D3956" s="2512">
        <v>4611387273.9514198</v>
      </c>
      <c r="E3956" s="2513">
        <v>80947418.231120601</v>
      </c>
      <c r="F3956" s="2514">
        <v>84.401765730776802</v>
      </c>
      <c r="G3956" s="2515">
        <v>1.3201724153486201</v>
      </c>
    </row>
    <row r="3957" spans="1:7" x14ac:dyDescent="0.25">
      <c r="A3957" s="11" t="s">
        <v>6293</v>
      </c>
      <c r="B3957" s="11" t="s">
        <v>6295</v>
      </c>
      <c r="C3957" s="2516">
        <v>19779</v>
      </c>
      <c r="D3957" s="2516">
        <v>5463614693.3948498</v>
      </c>
      <c r="E3957" s="2517">
        <v>0</v>
      </c>
      <c r="F3957" s="2518">
        <v>100</v>
      </c>
      <c r="G3957" s="2519">
        <v>0</v>
      </c>
    </row>
    <row r="3958" spans="1:7" x14ac:dyDescent="0.25">
      <c r="A3958" s="3353" t="s">
        <v>897</v>
      </c>
      <c r="B3958" s="3354"/>
      <c r="C3958" s="3354"/>
      <c r="D3958" s="3354"/>
      <c r="E3958" s="3354"/>
      <c r="F3958" s="3354"/>
      <c r="G3958" s="3354"/>
    </row>
    <row r="3959" spans="1:7" x14ac:dyDescent="0.25">
      <c r="A3959" s="11" t="s">
        <v>984</v>
      </c>
      <c r="B3959" s="11" t="s">
        <v>6150</v>
      </c>
      <c r="C3959" s="2524">
        <v>6734</v>
      </c>
      <c r="D3959" s="2524">
        <v>1897427960.6038401</v>
      </c>
      <c r="E3959" s="2525">
        <v>43224734.273053803</v>
      </c>
      <c r="F3959" s="2526">
        <v>34.748797553804401</v>
      </c>
      <c r="G3959" s="2527">
        <v>0.65708326938668304</v>
      </c>
    </row>
    <row r="3960" spans="1:7" x14ac:dyDescent="0.25">
      <c r="A3960" s="6" t="s">
        <v>1019</v>
      </c>
      <c r="B3960" s="6" t="s">
        <v>6160</v>
      </c>
      <c r="C3960" s="2520">
        <v>3288</v>
      </c>
      <c r="D3960" s="2520">
        <v>644732352.503425</v>
      </c>
      <c r="E3960" s="2521">
        <v>49867540.457724802</v>
      </c>
      <c r="F3960" s="2522">
        <v>11.807391088724</v>
      </c>
      <c r="G3960" s="2523">
        <v>0.91066573916751004</v>
      </c>
    </row>
    <row r="3961" spans="1:7" x14ac:dyDescent="0.25">
      <c r="A3961" s="11" t="s">
        <v>988</v>
      </c>
      <c r="B3961" s="11" t="s">
        <v>6152</v>
      </c>
      <c r="C3961" s="2524">
        <v>1717</v>
      </c>
      <c r="D3961" s="2524">
        <v>639029081.11343801</v>
      </c>
      <c r="E3961" s="2525">
        <v>39189102.562017202</v>
      </c>
      <c r="F3961" s="2526">
        <v>11.702943474880501</v>
      </c>
      <c r="G3961" s="2527">
        <v>0.73848306021411003</v>
      </c>
    </row>
    <row r="3962" spans="1:7" x14ac:dyDescent="0.25">
      <c r="A3962" s="6" t="s">
        <v>994</v>
      </c>
      <c r="B3962" s="6" t="s">
        <v>6155</v>
      </c>
      <c r="C3962" s="2520">
        <v>1062</v>
      </c>
      <c r="D3962" s="2520">
        <v>426066483.46011198</v>
      </c>
      <c r="E3962" s="2521">
        <v>49304034.970886402</v>
      </c>
      <c r="F3962" s="2522">
        <v>7.8028248163398697</v>
      </c>
      <c r="G3962" s="2523">
        <v>0.88980267286999204</v>
      </c>
    </row>
    <row r="3963" spans="1:7" x14ac:dyDescent="0.25">
      <c r="A3963" s="11" t="s">
        <v>1023</v>
      </c>
      <c r="B3963" s="11" t="s">
        <v>6162</v>
      </c>
      <c r="C3963" s="2524">
        <v>1414</v>
      </c>
      <c r="D3963" s="2524">
        <v>329323357.57815897</v>
      </c>
      <c r="E3963" s="2525">
        <v>38708345.158164904</v>
      </c>
      <c r="F3963" s="2526">
        <v>6.0311068034334099</v>
      </c>
      <c r="G3963" s="2527">
        <v>0.67002800530669204</v>
      </c>
    </row>
    <row r="3964" spans="1:7" x14ac:dyDescent="0.25">
      <c r="A3964" s="6" t="s">
        <v>1013</v>
      </c>
      <c r="B3964" s="6" t="s">
        <v>6157</v>
      </c>
      <c r="C3964" s="2520">
        <v>431</v>
      </c>
      <c r="D3964" s="2520">
        <v>283355191.19318199</v>
      </c>
      <c r="E3964" s="2521">
        <v>22439078.921028402</v>
      </c>
      <c r="F3964" s="2522">
        <v>5.1892627172300996</v>
      </c>
      <c r="G3964" s="2523">
        <v>0.40891444654904802</v>
      </c>
    </row>
    <row r="3965" spans="1:7" x14ac:dyDescent="0.25">
      <c r="A3965" s="11" t="s">
        <v>1031</v>
      </c>
      <c r="B3965" s="11" t="s">
        <v>6166</v>
      </c>
      <c r="C3965" s="2524">
        <v>758</v>
      </c>
      <c r="D3965" s="2524">
        <v>210651751.544287</v>
      </c>
      <c r="E3965" s="2525">
        <v>24030578.109565701</v>
      </c>
      <c r="F3965" s="2526">
        <v>3.8577986731244498</v>
      </c>
      <c r="G3965" s="2527">
        <v>0.436725327787861</v>
      </c>
    </row>
    <row r="3966" spans="1:7" x14ac:dyDescent="0.25">
      <c r="A3966" s="6" t="s">
        <v>1029</v>
      </c>
      <c r="B3966" s="6" t="s">
        <v>6165</v>
      </c>
      <c r="C3966" s="2520">
        <v>715</v>
      </c>
      <c r="D3966" s="2520">
        <v>195351994.818178</v>
      </c>
      <c r="E3966" s="2521">
        <v>19639170.1115233</v>
      </c>
      <c r="F3966" s="2522">
        <v>3.5776045576499298</v>
      </c>
      <c r="G3966" s="2523">
        <v>0.36285850667505998</v>
      </c>
    </row>
    <row r="3967" spans="1:7" x14ac:dyDescent="0.25">
      <c r="A3967" s="11" t="s">
        <v>1027</v>
      </c>
      <c r="B3967" s="11" t="s">
        <v>6164</v>
      </c>
      <c r="C3967" s="2524">
        <v>685</v>
      </c>
      <c r="D3967" s="2524">
        <v>151897264.89807099</v>
      </c>
      <c r="E3967" s="2525">
        <v>22274967.018948998</v>
      </c>
      <c r="F3967" s="2526">
        <v>2.7817906221008402</v>
      </c>
      <c r="G3967" s="2527">
        <v>0.41006488040476002</v>
      </c>
    </row>
    <row r="3968" spans="1:7" x14ac:dyDescent="0.25">
      <c r="A3968" s="6" t="s">
        <v>1025</v>
      </c>
      <c r="B3968" s="6" t="s">
        <v>6163</v>
      </c>
      <c r="C3968" s="2520">
        <v>782</v>
      </c>
      <c r="D3968" s="2520">
        <v>150097055.41187501</v>
      </c>
      <c r="E3968" s="2521">
        <v>16513442.8459129</v>
      </c>
      <c r="F3968" s="2522">
        <v>2.7488222479179498</v>
      </c>
      <c r="G3968" s="2523">
        <v>0.30012820594510098</v>
      </c>
    </row>
    <row r="3969" spans="1:7" x14ac:dyDescent="0.25">
      <c r="A3969" s="11" t="s">
        <v>1033</v>
      </c>
      <c r="B3969" s="11" t="s">
        <v>6167</v>
      </c>
      <c r="C3969" s="2524">
        <v>454</v>
      </c>
      <c r="D3969" s="2524">
        <v>102435266.16688301</v>
      </c>
      <c r="E3969" s="2525">
        <v>14254070.225018701</v>
      </c>
      <c r="F3969" s="2526">
        <v>1.8759617757874201</v>
      </c>
      <c r="G3969" s="2527">
        <v>0.25358352790305799</v>
      </c>
    </row>
    <row r="3970" spans="1:7" x14ac:dyDescent="0.25">
      <c r="A3970" s="6" t="s">
        <v>1021</v>
      </c>
      <c r="B3970" s="6" t="s">
        <v>6161</v>
      </c>
      <c r="C3970" s="2520">
        <v>551</v>
      </c>
      <c r="D3970" s="2520">
        <v>101579023.406582</v>
      </c>
      <c r="E3970" s="2521">
        <v>14135513.508877801</v>
      </c>
      <c r="F3970" s="2522">
        <v>1.8602808609108801</v>
      </c>
      <c r="G3970" s="2523">
        <v>0.25448027539378498</v>
      </c>
    </row>
    <row r="3971" spans="1:7" x14ac:dyDescent="0.25">
      <c r="A3971" s="11" t="s">
        <v>1003</v>
      </c>
      <c r="B3971" s="11" t="s">
        <v>6156</v>
      </c>
      <c r="C3971" s="2524">
        <v>223</v>
      </c>
      <c r="D3971" s="2524">
        <v>91947521.429448202</v>
      </c>
      <c r="E3971" s="2525">
        <v>20757490.3845031</v>
      </c>
      <c r="F3971" s="2526">
        <v>1.6838930773999901</v>
      </c>
      <c r="G3971" s="2527">
        <v>0.38085765400960198</v>
      </c>
    </row>
    <row r="3972" spans="1:7" x14ac:dyDescent="0.25">
      <c r="A3972" s="6" t="s">
        <v>990</v>
      </c>
      <c r="B3972" s="6" t="s">
        <v>6153</v>
      </c>
      <c r="C3972" s="2520">
        <v>211</v>
      </c>
      <c r="D3972" s="2520">
        <v>61443640.759054102</v>
      </c>
      <c r="E3972" s="2521">
        <v>13088020.117159899</v>
      </c>
      <c r="F3972" s="2522">
        <v>1.1252562300313</v>
      </c>
      <c r="G3972" s="2523">
        <v>0.23228684689264001</v>
      </c>
    </row>
    <row r="3973" spans="1:7" x14ac:dyDescent="0.25">
      <c r="A3973" s="11" t="s">
        <v>1035</v>
      </c>
      <c r="B3973" s="11" t="s">
        <v>6168</v>
      </c>
      <c r="C3973" s="2524">
        <v>309</v>
      </c>
      <c r="D3973" s="2524">
        <v>57366672.032673202</v>
      </c>
      <c r="E3973" s="2525">
        <v>15985308.012105299</v>
      </c>
      <c r="F3973" s="2526">
        <v>1.0505921248069201</v>
      </c>
      <c r="G3973" s="2527">
        <v>0.293668589968621</v>
      </c>
    </row>
    <row r="3974" spans="1:7" x14ac:dyDescent="0.25">
      <c r="A3974" s="6" t="s">
        <v>986</v>
      </c>
      <c r="B3974" s="6" t="s">
        <v>6151</v>
      </c>
      <c r="C3974" s="2520">
        <v>134</v>
      </c>
      <c r="D3974" s="2520">
        <v>51365406.241779499</v>
      </c>
      <c r="E3974" s="2521">
        <v>9674293.5362497494</v>
      </c>
      <c r="F3974" s="2522">
        <v>0.94068715114564605</v>
      </c>
      <c r="G3974" s="2523">
        <v>0.18294850309507901</v>
      </c>
    </row>
    <row r="3975" spans="1:7" x14ac:dyDescent="0.25">
      <c r="A3975" s="11" t="s">
        <v>992</v>
      </c>
      <c r="B3975" s="11" t="s">
        <v>6154</v>
      </c>
      <c r="C3975" s="2524">
        <v>217</v>
      </c>
      <c r="D3975" s="2524">
        <v>41910837.481110498</v>
      </c>
      <c r="E3975" s="2525">
        <v>8949274.0462765601</v>
      </c>
      <c r="F3975" s="2526">
        <v>0.76753965746242903</v>
      </c>
      <c r="G3975" s="2527">
        <v>0.16455691117459301</v>
      </c>
    </row>
    <row r="3976" spans="1:7" x14ac:dyDescent="0.25">
      <c r="A3976" s="6" t="s">
        <v>1005</v>
      </c>
      <c r="B3976" s="6" t="s">
        <v>1037</v>
      </c>
      <c r="C3976" s="2520">
        <v>53</v>
      </c>
      <c r="D3976" s="2520">
        <v>9347262.3791634105</v>
      </c>
      <c r="E3976" s="2521">
        <v>4074686.92927338</v>
      </c>
      <c r="F3976" s="2522">
        <v>0.171182324093335</v>
      </c>
      <c r="G3976" s="2523">
        <v>7.43959117443313E-2</v>
      </c>
    </row>
    <row r="3977" spans="1:7" x14ac:dyDescent="0.25">
      <c r="A3977" s="11" t="s">
        <v>1017</v>
      </c>
      <c r="B3977" s="11" t="s">
        <v>6159</v>
      </c>
      <c r="C3977" s="2524">
        <v>18</v>
      </c>
      <c r="D3977" s="2524">
        <v>8099845.16582755</v>
      </c>
      <c r="E3977" s="2525">
        <v>4928181.1076312102</v>
      </c>
      <c r="F3977" s="2526">
        <v>0.14833758420790399</v>
      </c>
      <c r="G3977" s="2527">
        <v>9.0685962893077607E-2</v>
      </c>
    </row>
    <row r="3978" spans="1:7" x14ac:dyDescent="0.25">
      <c r="A3978" s="6" t="s">
        <v>1015</v>
      </c>
      <c r="B3978" s="6" t="s">
        <v>6158</v>
      </c>
      <c r="C3978" s="2520">
        <v>16</v>
      </c>
      <c r="D3978" s="2520">
        <v>6985324.28985456</v>
      </c>
      <c r="E3978" s="2521">
        <v>1954615.35608251</v>
      </c>
      <c r="F3978" s="2522">
        <v>0.12792665894866501</v>
      </c>
      <c r="G3978" s="2523">
        <v>3.5451208431837702E-2</v>
      </c>
    </row>
    <row r="3979" spans="1:7" x14ac:dyDescent="0.25">
      <c r="A3979" s="11" t="s">
        <v>980</v>
      </c>
      <c r="B3979" s="11" t="s">
        <v>981</v>
      </c>
      <c r="C3979" s="2524">
        <v>5</v>
      </c>
      <c r="D3979" s="2524">
        <v>3040400.67854022</v>
      </c>
      <c r="E3979" s="2525">
        <v>2070874.75638884</v>
      </c>
      <c r="F3979" s="2526">
        <v>94.970944173889293</v>
      </c>
      <c r="G3979" s="2527">
        <v>5.6621462860085696</v>
      </c>
    </row>
    <row r="3980" spans="1:7" x14ac:dyDescent="0.25">
      <c r="A3980" s="6" t="s">
        <v>978</v>
      </c>
      <c r="B3980" s="6" t="s">
        <v>979</v>
      </c>
      <c r="C3980" s="2520">
        <v>1</v>
      </c>
      <c r="D3980" s="2520">
        <v>112719.15760440999</v>
      </c>
      <c r="E3980" s="2521">
        <v>120756.56962488699</v>
      </c>
      <c r="F3980" s="2522">
        <v>3.52093225729578</v>
      </c>
      <c r="G3980" s="2523">
        <v>4.6582693100053003</v>
      </c>
    </row>
    <row r="3981" spans="1:7" x14ac:dyDescent="0.25">
      <c r="A3981" s="11" t="s">
        <v>996</v>
      </c>
      <c r="B3981" s="11" t="s">
        <v>997</v>
      </c>
      <c r="C3981" s="2524">
        <v>1</v>
      </c>
      <c r="D3981" s="2524">
        <v>48281.081775408697</v>
      </c>
      <c r="E3981" s="2525">
        <v>52904.096734556202</v>
      </c>
      <c r="F3981" s="2526">
        <v>1.5081235688149</v>
      </c>
      <c r="G3981" s="2527">
        <v>1.97884372094734</v>
      </c>
    </row>
    <row r="3982" spans="1:7" x14ac:dyDescent="0.25">
      <c r="A3982" s="6" t="s">
        <v>6293</v>
      </c>
      <c r="B3982" s="6" t="s">
        <v>6294</v>
      </c>
      <c r="C3982" s="2520">
        <v>19772</v>
      </c>
      <c r="D3982" s="2520">
        <v>5460413292.4769402</v>
      </c>
      <c r="E3982" s="2521">
        <v>71907339.569590598</v>
      </c>
      <c r="F3982" s="2522">
        <v>99.941405075255602</v>
      </c>
      <c r="G3982" s="2523">
        <v>3.7838563950349201E-2</v>
      </c>
    </row>
    <row r="3983" spans="1:7" x14ac:dyDescent="0.25">
      <c r="A3983" s="11" t="s">
        <v>6293</v>
      </c>
      <c r="B3983" s="11" t="s">
        <v>6295</v>
      </c>
      <c r="C3983" s="2524">
        <v>19779</v>
      </c>
      <c r="D3983" s="2524">
        <v>5463614693.3948603</v>
      </c>
      <c r="E3983" s="2525">
        <v>0</v>
      </c>
      <c r="F3983" s="2526">
        <v>100</v>
      </c>
      <c r="G3983" s="2527">
        <v>0</v>
      </c>
    </row>
    <row r="3984" spans="1:7" x14ac:dyDescent="0.25">
      <c r="A3984" s="3353" t="s">
        <v>900</v>
      </c>
      <c r="B3984" s="3354"/>
      <c r="C3984" s="3354"/>
      <c r="D3984" s="3354"/>
      <c r="E3984" s="3354"/>
      <c r="F3984" s="3354"/>
      <c r="G3984" s="3354"/>
    </row>
    <row r="3985" spans="1:7" x14ac:dyDescent="0.25">
      <c r="A3985" s="11" t="s">
        <v>6726</v>
      </c>
      <c r="B3985" s="11"/>
      <c r="C3985" s="2532">
        <v>38</v>
      </c>
      <c r="D3985" s="2532">
        <v>7589779.1770444196</v>
      </c>
      <c r="E3985" s="2533">
        <v>3877217.13191617</v>
      </c>
      <c r="F3985" s="2534">
        <v>81.548891667804298</v>
      </c>
      <c r="G3985" s="2535">
        <v>16.198006672918101</v>
      </c>
    </row>
    <row r="3986" spans="1:7" x14ac:dyDescent="0.25">
      <c r="A3986" s="6" t="s">
        <v>6727</v>
      </c>
      <c r="B3986" s="6"/>
      <c r="C3986" s="2528">
        <v>12</v>
      </c>
      <c r="D3986" s="2528">
        <v>1704710.4758476</v>
      </c>
      <c r="E3986" s="2529">
        <v>1149303.5358563201</v>
      </c>
      <c r="F3986" s="2530">
        <v>18.316376099627501</v>
      </c>
      <c r="G3986" s="2531">
        <v>16.110912765898298</v>
      </c>
    </row>
    <row r="3987" spans="1:7" x14ac:dyDescent="0.25">
      <c r="A3987" s="11" t="s">
        <v>6728</v>
      </c>
      <c r="B3987" s="11"/>
      <c r="C3987" s="2532">
        <v>1</v>
      </c>
      <c r="D3987" s="2532">
        <v>6345.2176311254298</v>
      </c>
      <c r="E3987" s="2533">
        <v>6543.9496788546703</v>
      </c>
      <c r="F3987" s="2534">
        <v>6.8176616623356306E-2</v>
      </c>
      <c r="G3987" s="2535">
        <v>9.3261721507345893E-2</v>
      </c>
    </row>
    <row r="3988" spans="1:7" x14ac:dyDescent="0.25">
      <c r="A3988" s="6" t="s">
        <v>6729</v>
      </c>
      <c r="B3988" s="6"/>
      <c r="C3988" s="2528">
        <v>1</v>
      </c>
      <c r="D3988" s="2528">
        <v>6194.3506242992698</v>
      </c>
      <c r="E3988" s="2529">
        <v>6414.4414683921696</v>
      </c>
      <c r="F3988" s="2530">
        <v>6.6555615944822205E-2</v>
      </c>
      <c r="G3988" s="2531">
        <v>0.100466320650496</v>
      </c>
    </row>
    <row r="3989" spans="1:7" x14ac:dyDescent="0.25">
      <c r="A3989" s="11" t="s">
        <v>982</v>
      </c>
      <c r="B3989" s="11" t="s">
        <v>983</v>
      </c>
      <c r="C3989" s="2532">
        <v>19726</v>
      </c>
      <c r="D3989" s="2532">
        <v>5454267431.0156403</v>
      </c>
      <c r="E3989" s="2533">
        <v>72346302.391164303</v>
      </c>
      <c r="F3989" s="2534">
        <v>99.999262359945703</v>
      </c>
      <c r="G3989" s="2535">
        <v>7.4899985400163403E-4</v>
      </c>
    </row>
    <row r="3990" spans="1:7" x14ac:dyDescent="0.25">
      <c r="A3990" s="6" t="s">
        <v>996</v>
      </c>
      <c r="B3990" s="6" t="s">
        <v>997</v>
      </c>
      <c r="C3990" s="2528">
        <v>1</v>
      </c>
      <c r="D3990" s="2528">
        <v>40233.158015971203</v>
      </c>
      <c r="E3990" s="2529">
        <v>40933.783565083802</v>
      </c>
      <c r="F3990" s="2530">
        <v>7.3764005430498002E-4</v>
      </c>
      <c r="G3990" s="2531">
        <v>7.4899985400078098E-4</v>
      </c>
    </row>
    <row r="3991" spans="1:7" x14ac:dyDescent="0.25">
      <c r="A3991" s="11" t="s">
        <v>6293</v>
      </c>
      <c r="B3991" s="11" t="s">
        <v>6294</v>
      </c>
      <c r="C3991" s="2532">
        <v>52</v>
      </c>
      <c r="D3991" s="2532">
        <v>9307029.2211474404</v>
      </c>
      <c r="E3991" s="2533">
        <v>4071897.8821700499</v>
      </c>
      <c r="F3991" s="2534">
        <v>0.17034563642269801</v>
      </c>
      <c r="G3991" s="2535">
        <v>7.4293028298281702E-2</v>
      </c>
    </row>
    <row r="3992" spans="1:7" x14ac:dyDescent="0.25">
      <c r="A3992" s="6" t="s">
        <v>6293</v>
      </c>
      <c r="B3992" s="6" t="s">
        <v>6295</v>
      </c>
      <c r="C3992" s="2528">
        <v>19779</v>
      </c>
      <c r="D3992" s="2528">
        <v>5463614693.3948002</v>
      </c>
      <c r="E3992" s="2529">
        <v>0</v>
      </c>
      <c r="F3992" s="2530">
        <v>100</v>
      </c>
      <c r="G3992" s="2531">
        <v>0</v>
      </c>
    </row>
    <row r="3993" spans="1:7" x14ac:dyDescent="0.25">
      <c r="A3993" s="3353" t="s">
        <v>902</v>
      </c>
      <c r="B3993" s="3354"/>
      <c r="C3993" s="3354"/>
      <c r="D3993" s="3354"/>
      <c r="E3993" s="3354"/>
      <c r="F3993" s="3354"/>
      <c r="G3993" s="3354"/>
    </row>
    <row r="3994" spans="1:7" x14ac:dyDescent="0.25">
      <c r="A3994" s="11" t="s">
        <v>984</v>
      </c>
      <c r="B3994" s="11" t="s">
        <v>6150</v>
      </c>
      <c r="C3994" s="2540">
        <v>6817</v>
      </c>
      <c r="D3994" s="2540">
        <v>1925761552.19192</v>
      </c>
      <c r="E3994" s="2541">
        <v>38118958.123487599</v>
      </c>
      <c r="F3994" s="2542">
        <v>35.260294237848299</v>
      </c>
      <c r="G3994" s="2543">
        <v>0.63780707875228804</v>
      </c>
    </row>
    <row r="3995" spans="1:7" x14ac:dyDescent="0.25">
      <c r="A3995" s="6" t="s">
        <v>1019</v>
      </c>
      <c r="B3995" s="6" t="s">
        <v>6160</v>
      </c>
      <c r="C3995" s="2536">
        <v>3286</v>
      </c>
      <c r="D3995" s="2536">
        <v>643790259.62516499</v>
      </c>
      <c r="E3995" s="2537">
        <v>49672314.132034302</v>
      </c>
      <c r="F3995" s="2538">
        <v>11.7876660046549</v>
      </c>
      <c r="G3995" s="2539">
        <v>0.90816533076179196</v>
      </c>
    </row>
    <row r="3996" spans="1:7" x14ac:dyDescent="0.25">
      <c r="A3996" s="11" t="s">
        <v>988</v>
      </c>
      <c r="B3996" s="11" t="s">
        <v>6152</v>
      </c>
      <c r="C3996" s="2540">
        <v>1703</v>
      </c>
      <c r="D3996" s="2540">
        <v>630878572.50477803</v>
      </c>
      <c r="E3996" s="2541">
        <v>39671126.473626502</v>
      </c>
      <c r="F3996" s="2542">
        <v>11.5512556939112</v>
      </c>
      <c r="G3996" s="2543">
        <v>0.75783719268284699</v>
      </c>
    </row>
    <row r="3997" spans="1:7" x14ac:dyDescent="0.25">
      <c r="A3997" s="6" t="s">
        <v>994</v>
      </c>
      <c r="B3997" s="6" t="s">
        <v>6155</v>
      </c>
      <c r="C3997" s="2536">
        <v>1050</v>
      </c>
      <c r="D3997" s="2536">
        <v>422451913.79961598</v>
      </c>
      <c r="E3997" s="2537">
        <v>49189514.693374902</v>
      </c>
      <c r="F3997" s="2538">
        <v>7.7350068418190503</v>
      </c>
      <c r="G3997" s="2539">
        <v>0.88872754797045195</v>
      </c>
    </row>
    <row r="3998" spans="1:7" x14ac:dyDescent="0.25">
      <c r="A3998" s="11" t="s">
        <v>1023</v>
      </c>
      <c r="B3998" s="11" t="s">
        <v>6162</v>
      </c>
      <c r="C3998" s="2540">
        <v>1413</v>
      </c>
      <c r="D3998" s="2540">
        <v>326179911.14639801</v>
      </c>
      <c r="E3998" s="2541">
        <v>36230571.518010199</v>
      </c>
      <c r="F3998" s="2542">
        <v>5.9722864590408102</v>
      </c>
      <c r="G3998" s="2543">
        <v>0.62476792261172698</v>
      </c>
    </row>
    <row r="3999" spans="1:7" x14ac:dyDescent="0.25">
      <c r="A3999" s="6" t="s">
        <v>1013</v>
      </c>
      <c r="B3999" s="6" t="s">
        <v>6157</v>
      </c>
      <c r="C3999" s="2536">
        <v>420</v>
      </c>
      <c r="D3999" s="2536">
        <v>279061298.76005602</v>
      </c>
      <c r="E3999" s="2537">
        <v>22394961.161079701</v>
      </c>
      <c r="F3999" s="2538">
        <v>5.1095544479408304</v>
      </c>
      <c r="G3999" s="2539">
        <v>0.40698617129079201</v>
      </c>
    </row>
    <row r="4000" spans="1:7" x14ac:dyDescent="0.25">
      <c r="A4000" s="11" t="s">
        <v>1031</v>
      </c>
      <c r="B4000" s="11" t="s">
        <v>6166</v>
      </c>
      <c r="C4000" s="2540">
        <v>785</v>
      </c>
      <c r="D4000" s="2540">
        <v>218228760.48590201</v>
      </c>
      <c r="E4000" s="2541">
        <v>28240612.1203712</v>
      </c>
      <c r="F4000" s="2542">
        <v>3.9957233008082098</v>
      </c>
      <c r="G4000" s="2543">
        <v>0.50320466706858902</v>
      </c>
    </row>
    <row r="4001" spans="1:7" x14ac:dyDescent="0.25">
      <c r="A4001" s="6" t="s">
        <v>1029</v>
      </c>
      <c r="B4001" s="6" t="s">
        <v>6165</v>
      </c>
      <c r="C4001" s="2536">
        <v>712</v>
      </c>
      <c r="D4001" s="2536">
        <v>198922648.37485999</v>
      </c>
      <c r="E4001" s="2537">
        <v>18907206.103413701</v>
      </c>
      <c r="F4001" s="2538">
        <v>3.64223239595065</v>
      </c>
      <c r="G4001" s="2539">
        <v>0.34958491531658298</v>
      </c>
    </row>
    <row r="4002" spans="1:7" x14ac:dyDescent="0.25">
      <c r="A4002" s="11" t="s">
        <v>1027</v>
      </c>
      <c r="B4002" s="11" t="s">
        <v>6164</v>
      </c>
      <c r="C4002" s="2540">
        <v>676</v>
      </c>
      <c r="D4002" s="2540">
        <v>159037663.95084101</v>
      </c>
      <c r="E4002" s="2541">
        <v>25695616.803237598</v>
      </c>
      <c r="F4002" s="2542">
        <v>2.9119466111596002</v>
      </c>
      <c r="G4002" s="2543">
        <v>0.470589064559646</v>
      </c>
    </row>
    <row r="4003" spans="1:7" x14ac:dyDescent="0.25">
      <c r="A4003" s="6" t="s">
        <v>1025</v>
      </c>
      <c r="B4003" s="6" t="s">
        <v>6163</v>
      </c>
      <c r="C4003" s="2536">
        <v>784</v>
      </c>
      <c r="D4003" s="2536">
        <v>150871611.75857201</v>
      </c>
      <c r="E4003" s="2537">
        <v>16553711.4691194</v>
      </c>
      <c r="F4003" s="2538">
        <v>2.76242789076906</v>
      </c>
      <c r="G4003" s="2539">
        <v>0.30067085936007698</v>
      </c>
    </row>
    <row r="4004" spans="1:7" x14ac:dyDescent="0.25">
      <c r="A4004" s="11" t="s">
        <v>1021</v>
      </c>
      <c r="B4004" s="11" t="s">
        <v>6161</v>
      </c>
      <c r="C4004" s="2540">
        <v>553</v>
      </c>
      <c r="D4004" s="2540">
        <v>105047970.240869</v>
      </c>
      <c r="E4004" s="2541">
        <v>14802793.8437688</v>
      </c>
      <c r="F4004" s="2542">
        <v>1.92340652744148</v>
      </c>
      <c r="G4004" s="2543">
        <v>0.26681848838573102</v>
      </c>
    </row>
    <row r="4005" spans="1:7" x14ac:dyDescent="0.25">
      <c r="A4005" s="6" t="s">
        <v>1033</v>
      </c>
      <c r="B4005" s="6" t="s">
        <v>6167</v>
      </c>
      <c r="C4005" s="2536">
        <v>448</v>
      </c>
      <c r="D4005" s="2536">
        <v>101578326.69160201</v>
      </c>
      <c r="E4005" s="2537">
        <v>13930483.197663501</v>
      </c>
      <c r="F4005" s="2538">
        <v>1.85987807434282</v>
      </c>
      <c r="G4005" s="2539">
        <v>0.24740535768918601</v>
      </c>
    </row>
    <row r="4006" spans="1:7" x14ac:dyDescent="0.25">
      <c r="A4006" s="11" t="s">
        <v>1003</v>
      </c>
      <c r="B4006" s="11" t="s">
        <v>6156</v>
      </c>
      <c r="C4006" s="2540">
        <v>224</v>
      </c>
      <c r="D4006" s="2540">
        <v>89689048.715289205</v>
      </c>
      <c r="E4006" s="2541">
        <v>20796816.014001701</v>
      </c>
      <c r="F4006" s="2542">
        <v>1.6421878627778499</v>
      </c>
      <c r="G4006" s="2543">
        <v>0.38058131790816102</v>
      </c>
    </row>
    <row r="4007" spans="1:7" x14ac:dyDescent="0.25">
      <c r="A4007" s="6" t="s">
        <v>1035</v>
      </c>
      <c r="B4007" s="6" t="s">
        <v>6168</v>
      </c>
      <c r="C4007" s="2536">
        <v>307</v>
      </c>
      <c r="D4007" s="2536">
        <v>58831326.850311898</v>
      </c>
      <c r="E4007" s="2537">
        <v>17615129.760001101</v>
      </c>
      <c r="F4007" s="2538">
        <v>1.07718938140805</v>
      </c>
      <c r="G4007" s="2539">
        <v>0.32302088692404202</v>
      </c>
    </row>
    <row r="4008" spans="1:7" x14ac:dyDescent="0.25">
      <c r="A4008" s="11" t="s">
        <v>990</v>
      </c>
      <c r="B4008" s="11" t="s">
        <v>6153</v>
      </c>
      <c r="C4008" s="2540">
        <v>202</v>
      </c>
      <c r="D4008" s="2540">
        <v>55921779.939699799</v>
      </c>
      <c r="E4008" s="2541">
        <v>13240757.532352701</v>
      </c>
      <c r="F4008" s="2542">
        <v>1.0239161814886599</v>
      </c>
      <c r="G4008" s="2543">
        <v>0.234400641879769</v>
      </c>
    </row>
    <row r="4009" spans="1:7" x14ac:dyDescent="0.25">
      <c r="A4009" s="6" t="s">
        <v>992</v>
      </c>
      <c r="B4009" s="6" t="s">
        <v>6154</v>
      </c>
      <c r="C4009" s="2536">
        <v>218</v>
      </c>
      <c r="D4009" s="2536">
        <v>43649024.676731102</v>
      </c>
      <c r="E4009" s="2537">
        <v>10478437.387835801</v>
      </c>
      <c r="F4009" s="2538">
        <v>0.79920458041383502</v>
      </c>
      <c r="G4009" s="2539">
        <v>0.191695616603617</v>
      </c>
    </row>
    <row r="4010" spans="1:7" x14ac:dyDescent="0.25">
      <c r="A4010" s="11" t="s">
        <v>986</v>
      </c>
      <c r="B4010" s="11" t="s">
        <v>6151</v>
      </c>
      <c r="C4010" s="2540">
        <v>93</v>
      </c>
      <c r="D4010" s="2540">
        <v>26410037.2135083</v>
      </c>
      <c r="E4010" s="2541">
        <v>6878524.3619644605</v>
      </c>
      <c r="F4010" s="2542">
        <v>0.48356229872846801</v>
      </c>
      <c r="G4010" s="2543">
        <v>0.12767838017572899</v>
      </c>
    </row>
    <row r="4011" spans="1:7" x14ac:dyDescent="0.25">
      <c r="A4011" s="6" t="s">
        <v>1017</v>
      </c>
      <c r="B4011" s="6" t="s">
        <v>6159</v>
      </c>
      <c r="C4011" s="2536">
        <v>17</v>
      </c>
      <c r="D4011" s="2536">
        <v>10465959.496264201</v>
      </c>
      <c r="E4011" s="2537">
        <v>5192983.8178640697</v>
      </c>
      <c r="F4011" s="2538">
        <v>0.191629545672278</v>
      </c>
      <c r="G4011" s="2539">
        <v>9.6041339707994805E-2</v>
      </c>
    </row>
    <row r="4012" spans="1:7" x14ac:dyDescent="0.25">
      <c r="A4012" s="11" t="s">
        <v>1005</v>
      </c>
      <c r="B4012" s="11" t="s">
        <v>1037</v>
      </c>
      <c r="C4012" s="2540">
        <v>53</v>
      </c>
      <c r="D4012" s="2540">
        <v>9479764.3864198402</v>
      </c>
      <c r="E4012" s="2541">
        <v>4005620.2126139002</v>
      </c>
      <c r="F4012" s="2542">
        <v>0.17357251794241199</v>
      </c>
      <c r="G4012" s="2543">
        <v>7.3143532933344496E-2</v>
      </c>
    </row>
    <row r="4013" spans="1:7" x14ac:dyDescent="0.25">
      <c r="A4013" s="6" t="s">
        <v>1015</v>
      </c>
      <c r="B4013" s="6" t="s">
        <v>6158</v>
      </c>
      <c r="C4013" s="2536">
        <v>12</v>
      </c>
      <c r="D4013" s="2536">
        <v>5300941.9083817396</v>
      </c>
      <c r="E4013" s="2537">
        <v>1854622.66138815</v>
      </c>
      <c r="F4013" s="2538">
        <v>9.7059145881552802E-2</v>
      </c>
      <c r="G4013" s="2539">
        <v>3.3910101958661801E-2</v>
      </c>
    </row>
    <row r="4014" spans="1:7" x14ac:dyDescent="0.25">
      <c r="A4014" s="11" t="s">
        <v>980</v>
      </c>
      <c r="B4014" s="11" t="s">
        <v>981</v>
      </c>
      <c r="C4014" s="2540">
        <v>6</v>
      </c>
      <c r="D4014" s="2540">
        <v>2056320.6776753999</v>
      </c>
      <c r="E4014" s="2541">
        <v>1936107.28156352</v>
      </c>
      <c r="F4014" s="2542">
        <v>100</v>
      </c>
      <c r="G4014" s="2543">
        <v>0</v>
      </c>
    </row>
    <row r="4015" spans="1:7" x14ac:dyDescent="0.25">
      <c r="A4015" s="6" t="s">
        <v>6293</v>
      </c>
      <c r="B4015" s="6" t="s">
        <v>6294</v>
      </c>
      <c r="C4015" s="2536">
        <v>19773</v>
      </c>
      <c r="D4015" s="2536">
        <v>5461558372.7171898</v>
      </c>
      <c r="E4015" s="2537">
        <v>72185224.315761998</v>
      </c>
      <c r="F4015" s="2538">
        <v>99.962363365773896</v>
      </c>
      <c r="G4015" s="2539">
        <v>3.5301944849585501E-2</v>
      </c>
    </row>
    <row r="4016" spans="1:7" x14ac:dyDescent="0.25">
      <c r="A4016" s="11" t="s">
        <v>6293</v>
      </c>
      <c r="B4016" s="11" t="s">
        <v>6295</v>
      </c>
      <c r="C4016" s="2540">
        <v>19779</v>
      </c>
      <c r="D4016" s="2540">
        <v>5463614693.3948603</v>
      </c>
      <c r="E4016" s="2541">
        <v>0</v>
      </c>
      <c r="F4016" s="2542">
        <v>100</v>
      </c>
      <c r="G4016" s="2543">
        <v>0</v>
      </c>
    </row>
    <row r="4017" spans="1:7" x14ac:dyDescent="0.25">
      <c r="A4017" s="3353" t="s">
        <v>908</v>
      </c>
      <c r="B4017" s="3354"/>
      <c r="C4017" s="3354"/>
      <c r="D4017" s="3354"/>
      <c r="E4017" s="3354"/>
      <c r="F4017" s="3354"/>
      <c r="G4017" s="3354"/>
    </row>
    <row r="4018" spans="1:7" x14ac:dyDescent="0.25">
      <c r="A4018" s="11" t="s">
        <v>6726</v>
      </c>
      <c r="B4018" s="11"/>
      <c r="C4018" s="2548">
        <v>38</v>
      </c>
      <c r="D4018" s="2548">
        <v>7728626.4019319704</v>
      </c>
      <c r="E4018" s="2549">
        <v>3807622.3220961299</v>
      </c>
      <c r="F4018" s="2550">
        <v>81.875108148127893</v>
      </c>
      <c r="G4018" s="2551">
        <v>15.6332867018667</v>
      </c>
    </row>
    <row r="4019" spans="1:7" x14ac:dyDescent="0.25">
      <c r="A4019" s="6" t="s">
        <v>6727</v>
      </c>
      <c r="B4019" s="6"/>
      <c r="C4019" s="2544">
        <v>13</v>
      </c>
      <c r="D4019" s="2544">
        <v>1704710.4758476</v>
      </c>
      <c r="E4019" s="2545">
        <v>1149303.5358563201</v>
      </c>
      <c r="F4019" s="2546">
        <v>18.059270472224998</v>
      </c>
      <c r="G4019" s="2547">
        <v>15.587318519634101</v>
      </c>
    </row>
    <row r="4020" spans="1:7" x14ac:dyDescent="0.25">
      <c r="A4020" s="11" t="s">
        <v>6729</v>
      </c>
      <c r="B4020" s="11"/>
      <c r="C4020" s="2548">
        <v>1</v>
      </c>
      <c r="D4020" s="2548">
        <v>6194.3506242992698</v>
      </c>
      <c r="E4020" s="2549">
        <v>6414.4414683921696</v>
      </c>
      <c r="F4020" s="2550">
        <v>6.5621379647119102E-2</v>
      </c>
      <c r="G4020" s="2551">
        <v>9.7485605403908299E-2</v>
      </c>
    </row>
    <row r="4021" spans="1:7" x14ac:dyDescent="0.25">
      <c r="A4021" s="6" t="s">
        <v>982</v>
      </c>
      <c r="B4021" s="6" t="s">
        <v>983</v>
      </c>
      <c r="C4021" s="2544">
        <v>19726</v>
      </c>
      <c r="D4021" s="2544">
        <v>5454134929.0083799</v>
      </c>
      <c r="E4021" s="2545">
        <v>72398671.335914806</v>
      </c>
      <c r="F4021" s="2546">
        <v>99.999262342025702</v>
      </c>
      <c r="G4021" s="2547">
        <v>7.4901398404838399E-4</v>
      </c>
    </row>
    <row r="4022" spans="1:7" x14ac:dyDescent="0.25">
      <c r="A4022" s="11" t="s">
        <v>996</v>
      </c>
      <c r="B4022" s="11" t="s">
        <v>997</v>
      </c>
      <c r="C4022" s="2548">
        <v>1</v>
      </c>
      <c r="D4022" s="2548">
        <v>40233.158015971203</v>
      </c>
      <c r="E4022" s="2549">
        <v>40933.783565083802</v>
      </c>
      <c r="F4022" s="2550">
        <v>7.3765797429928195E-4</v>
      </c>
      <c r="G4022" s="2551">
        <v>7.49013984050116E-4</v>
      </c>
    </row>
    <row r="4023" spans="1:7" x14ac:dyDescent="0.25">
      <c r="A4023" s="6" t="s">
        <v>6293</v>
      </c>
      <c r="B4023" s="6" t="s">
        <v>6294</v>
      </c>
      <c r="C4023" s="2544">
        <v>52</v>
      </c>
      <c r="D4023" s="2544">
        <v>9439531.22840387</v>
      </c>
      <c r="E4023" s="2545">
        <v>4003080.2722998201</v>
      </c>
      <c r="F4023" s="2546">
        <v>0.17277080757205901</v>
      </c>
      <c r="G4023" s="2547">
        <v>7.30709018919313E-2</v>
      </c>
    </row>
    <row r="4024" spans="1:7" x14ac:dyDescent="0.25">
      <c r="A4024" s="11" t="s">
        <v>6293</v>
      </c>
      <c r="B4024" s="11" t="s">
        <v>6295</v>
      </c>
      <c r="C4024" s="2548">
        <v>19779</v>
      </c>
      <c r="D4024" s="2548">
        <v>5463614693.3948002</v>
      </c>
      <c r="E4024" s="2549">
        <v>0</v>
      </c>
      <c r="F4024" s="2550">
        <v>100</v>
      </c>
      <c r="G4024" s="2551">
        <v>0</v>
      </c>
    </row>
    <row r="4025" spans="1:7" x14ac:dyDescent="0.25">
      <c r="A4025" s="3353" t="s">
        <v>372</v>
      </c>
      <c r="B4025" s="3354"/>
      <c r="C4025" s="3354"/>
      <c r="D4025" s="3354"/>
      <c r="E4025" s="3354"/>
      <c r="F4025" s="3354"/>
      <c r="G4025" s="3354"/>
    </row>
    <row r="4026" spans="1:7" x14ac:dyDescent="0.25">
      <c r="A4026" s="11" t="s">
        <v>986</v>
      </c>
      <c r="B4026" s="11"/>
      <c r="C4026" s="2556">
        <v>19206</v>
      </c>
      <c r="D4026" s="2556">
        <v>5362581899.8973904</v>
      </c>
      <c r="E4026" s="2557">
        <v>72971916.1857609</v>
      </c>
      <c r="F4026" s="2558">
        <v>98.150806761326706</v>
      </c>
      <c r="G4026" s="2559">
        <v>0.35869837970361401</v>
      </c>
    </row>
    <row r="4027" spans="1:7" x14ac:dyDescent="0.25">
      <c r="A4027" s="6" t="s">
        <v>984</v>
      </c>
      <c r="B4027" s="6"/>
      <c r="C4027" s="2552">
        <v>573</v>
      </c>
      <c r="D4027" s="2552">
        <v>101032793.497416</v>
      </c>
      <c r="E4027" s="2553">
        <v>19676323.930872399</v>
      </c>
      <c r="F4027" s="2554">
        <v>1.8491932386732799</v>
      </c>
      <c r="G4027" s="2555">
        <v>0.35869837970363</v>
      </c>
    </row>
    <row r="4028" spans="1:7" x14ac:dyDescent="0.25">
      <c r="A4028" s="11" t="s">
        <v>6293</v>
      </c>
      <c r="B4028" s="11" t="s">
        <v>6294</v>
      </c>
      <c r="C4028" s="2556">
        <v>19779</v>
      </c>
      <c r="D4028" s="2556">
        <v>5463614693.3948002</v>
      </c>
      <c r="E4028" s="2557">
        <v>72575038.820989698</v>
      </c>
      <c r="F4028" s="2558">
        <v>100</v>
      </c>
      <c r="G4028" s="2559">
        <v>3.5606350123330501E-14</v>
      </c>
    </row>
    <row r="4029" spans="1:7" x14ac:dyDescent="0.25">
      <c r="A4029" s="6" t="s">
        <v>6293</v>
      </c>
      <c r="B4029" s="6" t="s">
        <v>6295</v>
      </c>
      <c r="C4029" s="2552">
        <v>19779</v>
      </c>
      <c r="D4029" s="2552">
        <v>5463614693.3948002</v>
      </c>
      <c r="E4029" s="2553">
        <v>0</v>
      </c>
      <c r="F4029" s="2554">
        <v>100</v>
      </c>
      <c r="G4029" s="2555">
        <v>0</v>
      </c>
    </row>
    <row r="4030" spans="1:7" x14ac:dyDescent="0.25">
      <c r="A4030" s="3353" t="s">
        <v>777</v>
      </c>
      <c r="B4030" s="3354"/>
      <c r="C4030" s="3354"/>
      <c r="D4030" s="3354"/>
      <c r="E4030" s="3354"/>
      <c r="F4030" s="3354"/>
      <c r="G4030" s="3354"/>
    </row>
    <row r="4031" spans="1:7" x14ac:dyDescent="0.25">
      <c r="A4031" s="11" t="s">
        <v>984</v>
      </c>
      <c r="B4031" s="11" t="s">
        <v>1061</v>
      </c>
      <c r="C4031" s="2564">
        <v>16326</v>
      </c>
      <c r="D4031" s="2564">
        <v>4271631604.7672501</v>
      </c>
      <c r="E4031" s="2565">
        <v>72261408.362353593</v>
      </c>
      <c r="F4031" s="2566">
        <v>78.183251281086001</v>
      </c>
      <c r="G4031" s="2567">
        <v>1.24039024763634</v>
      </c>
    </row>
    <row r="4032" spans="1:7" x14ac:dyDescent="0.25">
      <c r="A4032" s="6" t="s">
        <v>986</v>
      </c>
      <c r="B4032" s="6" t="s">
        <v>1062</v>
      </c>
      <c r="C4032" s="2560">
        <v>3453</v>
      </c>
      <c r="D4032" s="2560">
        <v>1191983088.62762</v>
      </c>
      <c r="E4032" s="2561">
        <v>74480069.503733799</v>
      </c>
      <c r="F4032" s="2562">
        <v>21.816748718913999</v>
      </c>
      <c r="G4032" s="2563">
        <v>1.24039024763634</v>
      </c>
    </row>
    <row r="4033" spans="1:7" x14ac:dyDescent="0.25">
      <c r="A4033" s="11" t="s">
        <v>6293</v>
      </c>
      <c r="B4033" s="11" t="s">
        <v>6294</v>
      </c>
      <c r="C4033" s="2564">
        <v>19779</v>
      </c>
      <c r="D4033" s="2564">
        <v>5463614693.3948803</v>
      </c>
      <c r="E4033" s="2565">
        <v>72575038.820914194</v>
      </c>
      <c r="F4033" s="2566">
        <v>100</v>
      </c>
      <c r="G4033" s="2567">
        <v>1.02786679142825E-14</v>
      </c>
    </row>
    <row r="4034" spans="1:7" x14ac:dyDescent="0.25">
      <c r="A4034" s="6" t="s">
        <v>6293</v>
      </c>
      <c r="B4034" s="6" t="s">
        <v>6295</v>
      </c>
      <c r="C4034" s="2560">
        <v>19779</v>
      </c>
      <c r="D4034" s="2560">
        <v>5463614693.3948803</v>
      </c>
      <c r="E4034" s="2561">
        <v>0</v>
      </c>
      <c r="F4034" s="2562">
        <v>100</v>
      </c>
      <c r="G4034" s="2563">
        <v>0</v>
      </c>
    </row>
    <row r="4035" spans="1:7" x14ac:dyDescent="0.25">
      <c r="A4035" s="3353" t="s">
        <v>244</v>
      </c>
      <c r="B4035" s="3354"/>
      <c r="C4035" s="3354"/>
      <c r="D4035" s="3354"/>
      <c r="E4035" s="3354"/>
      <c r="F4035" s="3354"/>
      <c r="G4035" s="3354"/>
    </row>
    <row r="4036" spans="1:7" x14ac:dyDescent="0.25">
      <c r="A4036" s="11" t="s">
        <v>984</v>
      </c>
      <c r="B4036" s="11" t="s">
        <v>1061</v>
      </c>
      <c r="C4036" s="2572">
        <v>16534</v>
      </c>
      <c r="D4036" s="2572">
        <v>4353403087.4050703</v>
      </c>
      <c r="E4036" s="2573">
        <v>77453260.2427461</v>
      </c>
      <c r="F4036" s="2574">
        <v>94.405497278364095</v>
      </c>
      <c r="G4036" s="2575">
        <v>0.84655608777565095</v>
      </c>
    </row>
    <row r="4037" spans="1:7" x14ac:dyDescent="0.25">
      <c r="A4037" s="6" t="s">
        <v>986</v>
      </c>
      <c r="B4037" s="6" t="s">
        <v>1062</v>
      </c>
      <c r="C4037" s="2568">
        <v>749</v>
      </c>
      <c r="D4037" s="2568">
        <v>257984186.54638401</v>
      </c>
      <c r="E4037" s="2569">
        <v>40201374.692986898</v>
      </c>
      <c r="F4037" s="2570">
        <v>5.5945027216358598</v>
      </c>
      <c r="G4037" s="2571">
        <v>0.84655608777564195</v>
      </c>
    </row>
    <row r="4038" spans="1:7" x14ac:dyDescent="0.25">
      <c r="A4038" s="11" t="s">
        <v>982</v>
      </c>
      <c r="B4038" s="11"/>
      <c r="C4038" s="2572">
        <v>2496</v>
      </c>
      <c r="D4038" s="2572">
        <v>852227419.44343305</v>
      </c>
      <c r="E4038" s="2573">
        <v>75976104.214897096</v>
      </c>
      <c r="F4038" s="2574">
        <v>100</v>
      </c>
      <c r="G4038" s="2575">
        <v>0</v>
      </c>
    </row>
    <row r="4039" spans="1:7" x14ac:dyDescent="0.25">
      <c r="A4039" s="6" t="s">
        <v>6293</v>
      </c>
      <c r="B4039" s="6" t="s">
        <v>6294</v>
      </c>
      <c r="C4039" s="2568">
        <v>17283</v>
      </c>
      <c r="D4039" s="2568">
        <v>4611387273.9514599</v>
      </c>
      <c r="E4039" s="2569">
        <v>80947418.231135905</v>
      </c>
      <c r="F4039" s="2570">
        <v>84.401765730776901</v>
      </c>
      <c r="G4039" s="2571">
        <v>1.32017241534871</v>
      </c>
    </row>
    <row r="4040" spans="1:7" x14ac:dyDescent="0.25">
      <c r="A4040" s="11" t="s">
        <v>6293</v>
      </c>
      <c r="B4040" s="11" t="s">
        <v>6295</v>
      </c>
      <c r="C4040" s="2572">
        <v>19779</v>
      </c>
      <c r="D4040" s="2572">
        <v>5463614693.3948898</v>
      </c>
      <c r="E4040" s="2573">
        <v>0</v>
      </c>
      <c r="F4040" s="2574">
        <v>100</v>
      </c>
      <c r="G4040" s="2575">
        <v>0</v>
      </c>
    </row>
    <row r="4041" spans="1:7" x14ac:dyDescent="0.25">
      <c r="A4041" s="3353" t="s">
        <v>246</v>
      </c>
      <c r="B4041" s="3354"/>
      <c r="C4041" s="3354"/>
      <c r="D4041" s="3354"/>
      <c r="E4041" s="3354"/>
      <c r="F4041" s="3354"/>
      <c r="G4041" s="3354"/>
    </row>
    <row r="4042" spans="1:7" x14ac:dyDescent="0.25">
      <c r="A4042" s="11" t="s">
        <v>984</v>
      </c>
      <c r="B4042" s="11"/>
      <c r="C4042" s="2580">
        <v>12101</v>
      </c>
      <c r="D4042" s="2580">
        <v>3277406541.0750499</v>
      </c>
      <c r="E4042" s="2581">
        <v>96934400.408676699</v>
      </c>
      <c r="F4042" s="2582">
        <v>59.9860481566757</v>
      </c>
      <c r="G4042" s="2583">
        <v>1.5850037261835901</v>
      </c>
    </row>
    <row r="4043" spans="1:7" x14ac:dyDescent="0.25">
      <c r="A4043" s="6" t="s">
        <v>986</v>
      </c>
      <c r="B4043" s="6"/>
      <c r="C4043" s="2576">
        <v>5920</v>
      </c>
      <c r="D4043" s="2576">
        <v>1428701188.42239</v>
      </c>
      <c r="E4043" s="2577">
        <v>61426100.066551901</v>
      </c>
      <c r="F4043" s="2578">
        <v>26.149376714825699</v>
      </c>
      <c r="G4043" s="2579">
        <v>1.0498630052005999</v>
      </c>
    </row>
    <row r="4044" spans="1:7" x14ac:dyDescent="0.25">
      <c r="A4044" s="11" t="s">
        <v>988</v>
      </c>
      <c r="B4044" s="11"/>
      <c r="C4044" s="2580">
        <v>986</v>
      </c>
      <c r="D4044" s="2580">
        <v>464417276.33971697</v>
      </c>
      <c r="E4044" s="2581">
        <v>51525073.578458801</v>
      </c>
      <c r="F4044" s="2582">
        <v>8.5001835305327305</v>
      </c>
      <c r="G4044" s="2583">
        <v>0.99835440839846501</v>
      </c>
    </row>
    <row r="4045" spans="1:7" x14ac:dyDescent="0.25">
      <c r="A4045" s="6" t="s">
        <v>990</v>
      </c>
      <c r="B4045" s="6"/>
      <c r="C4045" s="2576">
        <v>488</v>
      </c>
      <c r="D4045" s="2576">
        <v>177945813.37191701</v>
      </c>
      <c r="E4045" s="2577">
        <v>65915873.369820498</v>
      </c>
      <c r="F4045" s="2578">
        <v>3.2569246434424</v>
      </c>
      <c r="G4045" s="2579">
        <v>1.20010842863675</v>
      </c>
    </row>
    <row r="4046" spans="1:7" x14ac:dyDescent="0.25">
      <c r="A4046" s="11" t="s">
        <v>992</v>
      </c>
      <c r="B4046" s="11"/>
      <c r="C4046" s="2580">
        <v>207</v>
      </c>
      <c r="D4046" s="2580">
        <v>100515796.297636</v>
      </c>
      <c r="E4046" s="2581">
        <v>37760489.478226803</v>
      </c>
      <c r="F4046" s="2582">
        <v>1.83973068999819</v>
      </c>
      <c r="G4046" s="2583">
        <v>0.67960197562618696</v>
      </c>
    </row>
    <row r="4047" spans="1:7" x14ac:dyDescent="0.25">
      <c r="A4047" s="6" t="s">
        <v>994</v>
      </c>
      <c r="B4047" s="6"/>
      <c r="C4047" s="2576">
        <v>44</v>
      </c>
      <c r="D4047" s="2576">
        <v>11736080.7645433</v>
      </c>
      <c r="E4047" s="2577">
        <v>12611057.8665145</v>
      </c>
      <c r="F4047" s="2578">
        <v>0.21480432686315601</v>
      </c>
      <c r="G4047" s="2579">
        <v>0.23013698326233201</v>
      </c>
    </row>
    <row r="4048" spans="1:7" x14ac:dyDescent="0.25">
      <c r="A4048" s="11" t="s">
        <v>1003</v>
      </c>
      <c r="B4048" s="11"/>
      <c r="C4048" s="2580">
        <v>26</v>
      </c>
      <c r="D4048" s="2580">
        <v>2435895.8431313299</v>
      </c>
      <c r="E4048" s="2581">
        <v>2478983.1656151498</v>
      </c>
      <c r="F4048" s="2582">
        <v>4.4583960982390598E-2</v>
      </c>
      <c r="G4048" s="2583">
        <v>4.5383764759566202E-2</v>
      </c>
    </row>
    <row r="4049" spans="1:7" x14ac:dyDescent="0.25">
      <c r="A4049" s="6" t="s">
        <v>1013</v>
      </c>
      <c r="B4049" s="6"/>
      <c r="C4049" s="2576">
        <v>7</v>
      </c>
      <c r="D4049" s="2576">
        <v>456101.28047580598</v>
      </c>
      <c r="E4049" s="2577">
        <v>465680.44402629399</v>
      </c>
      <c r="F4049" s="2578">
        <v>8.34797667974649E-3</v>
      </c>
      <c r="G4049" s="2579">
        <v>8.5268079303530003E-3</v>
      </c>
    </row>
    <row r="4050" spans="1:7" x14ac:dyDescent="0.25">
      <c r="A4050" s="11" t="s">
        <v>6293</v>
      </c>
      <c r="B4050" s="11" t="s">
        <v>6294</v>
      </c>
      <c r="C4050" s="2580">
        <v>19779</v>
      </c>
      <c r="D4050" s="2580">
        <v>5463614693.3948603</v>
      </c>
      <c r="E4050" s="2581">
        <v>72575038.820927903</v>
      </c>
      <c r="F4050" s="2582">
        <v>100</v>
      </c>
      <c r="G4050" s="2583">
        <v>2.29838001744816E-14</v>
      </c>
    </row>
    <row r="4051" spans="1:7" x14ac:dyDescent="0.25">
      <c r="A4051" s="6" t="s">
        <v>6293</v>
      </c>
      <c r="B4051" s="6" t="s">
        <v>6295</v>
      </c>
      <c r="C4051" s="2576">
        <v>19779</v>
      </c>
      <c r="D4051" s="2576">
        <v>5463614693.3948603</v>
      </c>
      <c r="E4051" s="2577">
        <v>0</v>
      </c>
      <c r="F4051" s="2578">
        <v>100</v>
      </c>
      <c r="G4051" s="2579">
        <v>0</v>
      </c>
    </row>
    <row r="4052" spans="1:7" x14ac:dyDescent="0.25">
      <c r="A4052" s="3353" t="s">
        <v>417</v>
      </c>
      <c r="B4052" s="3354"/>
      <c r="C4052" s="3354"/>
      <c r="D4052" s="3354"/>
      <c r="E4052" s="3354"/>
      <c r="F4052" s="3354"/>
      <c r="G4052" s="3354"/>
    </row>
    <row r="4053" spans="1:7" x14ac:dyDescent="0.25">
      <c r="A4053" s="11" t="s">
        <v>1174</v>
      </c>
      <c r="B4053" s="11"/>
      <c r="C4053" s="2588">
        <v>16465</v>
      </c>
      <c r="D4053" s="2588">
        <v>4544158439.1421099</v>
      </c>
      <c r="E4053" s="2589">
        <v>93726994.107869402</v>
      </c>
      <c r="F4053" s="2590">
        <v>83.1712830085863</v>
      </c>
      <c r="G4053" s="2591">
        <v>1.24881835853318</v>
      </c>
    </row>
    <row r="4054" spans="1:7" x14ac:dyDescent="0.25">
      <c r="A4054" s="6" t="s">
        <v>984</v>
      </c>
      <c r="B4054" s="6"/>
      <c r="C4054" s="2584">
        <v>2410</v>
      </c>
      <c r="D4054" s="2584">
        <v>676914748.60430396</v>
      </c>
      <c r="E4054" s="2585">
        <v>66708444.354340203</v>
      </c>
      <c r="F4054" s="2586">
        <v>12.389503773438699</v>
      </c>
      <c r="G4054" s="2587">
        <v>1.2435717754469799</v>
      </c>
    </row>
    <row r="4055" spans="1:7" x14ac:dyDescent="0.25">
      <c r="A4055" s="11" t="s">
        <v>986</v>
      </c>
      <c r="B4055" s="11"/>
      <c r="C4055" s="2588">
        <v>573</v>
      </c>
      <c r="D4055" s="2588">
        <v>130362561.60204899</v>
      </c>
      <c r="E4055" s="2589">
        <v>16999835.430161498</v>
      </c>
      <c r="F4055" s="2590">
        <v>2.3860130868973801</v>
      </c>
      <c r="G4055" s="2591">
        <v>0.29672336987909498</v>
      </c>
    </row>
    <row r="4056" spans="1:7" x14ac:dyDescent="0.25">
      <c r="A4056" s="6" t="s">
        <v>988</v>
      </c>
      <c r="B4056" s="6"/>
      <c r="C4056" s="2584">
        <v>208</v>
      </c>
      <c r="D4056" s="2584">
        <v>59773479.138166301</v>
      </c>
      <c r="E4056" s="2585">
        <v>17384664.738347702</v>
      </c>
      <c r="F4056" s="2586">
        <v>1.0940280838330101</v>
      </c>
      <c r="G4056" s="2587">
        <v>0.31531280865523598</v>
      </c>
    </row>
    <row r="4057" spans="1:7" x14ac:dyDescent="0.25">
      <c r="A4057" s="11" t="s">
        <v>992</v>
      </c>
      <c r="B4057" s="11"/>
      <c r="C4057" s="2588">
        <v>31</v>
      </c>
      <c r="D4057" s="2588">
        <v>25202783.776970599</v>
      </c>
      <c r="E4057" s="2589">
        <v>20947292.7567425</v>
      </c>
      <c r="F4057" s="2590">
        <v>0.46128406176664</v>
      </c>
      <c r="G4057" s="2591">
        <v>0.38302696572678901</v>
      </c>
    </row>
    <row r="4058" spans="1:7" x14ac:dyDescent="0.25">
      <c r="A4058" s="6" t="s">
        <v>990</v>
      </c>
      <c r="B4058" s="6"/>
      <c r="C4058" s="2584">
        <v>61</v>
      </c>
      <c r="D4058" s="2584">
        <v>16875705.549631599</v>
      </c>
      <c r="E4058" s="2585">
        <v>6834715.8915379504</v>
      </c>
      <c r="F4058" s="2586">
        <v>0.30887437157736097</v>
      </c>
      <c r="G4058" s="2587">
        <v>0.12276947039722901</v>
      </c>
    </row>
    <row r="4059" spans="1:7" x14ac:dyDescent="0.25">
      <c r="A4059" s="11" t="s">
        <v>994</v>
      </c>
      <c r="B4059" s="11"/>
      <c r="C4059" s="2588">
        <v>5</v>
      </c>
      <c r="D4059" s="2588">
        <v>3453618.2326338901</v>
      </c>
      <c r="E4059" s="2589">
        <v>2626012.2404896198</v>
      </c>
      <c r="F4059" s="2590">
        <v>6.3211233339882197E-2</v>
      </c>
      <c r="G4059" s="2591">
        <v>4.8040818457209603E-2</v>
      </c>
    </row>
    <row r="4060" spans="1:7" x14ac:dyDescent="0.25">
      <c r="A4060" s="6" t="s">
        <v>1003</v>
      </c>
      <c r="B4060" s="6"/>
      <c r="C4060" s="2584">
        <v>3</v>
      </c>
      <c r="D4060" s="2584">
        <v>2246021.5692295898</v>
      </c>
      <c r="E4060" s="2585">
        <v>2276314.2442938299</v>
      </c>
      <c r="F4060" s="2586">
        <v>4.1108710904246198E-2</v>
      </c>
      <c r="G4060" s="2587">
        <v>4.1712725306669002E-2</v>
      </c>
    </row>
    <row r="4061" spans="1:7" x14ac:dyDescent="0.25">
      <c r="A4061" s="11" t="s">
        <v>1013</v>
      </c>
      <c r="B4061" s="11"/>
      <c r="C4061" s="2588">
        <v>7</v>
      </c>
      <c r="D4061" s="2588">
        <v>2046731.5895311299</v>
      </c>
      <c r="E4061" s="2589">
        <v>1343502.03491048</v>
      </c>
      <c r="F4061" s="2590">
        <v>3.7461126093051599E-2</v>
      </c>
      <c r="G4061" s="2591">
        <v>2.46156818981502E-2</v>
      </c>
    </row>
    <row r="4062" spans="1:7" x14ac:dyDescent="0.25">
      <c r="A4062" s="6" t="s">
        <v>3069</v>
      </c>
      <c r="B4062" s="6"/>
      <c r="C4062" s="2584">
        <v>2</v>
      </c>
      <c r="D4062" s="2584">
        <v>1414203.3228174599</v>
      </c>
      <c r="E4062" s="2585">
        <v>1500343.6189784401</v>
      </c>
      <c r="F4062" s="2586">
        <v>2.5884023712857099E-2</v>
      </c>
      <c r="G4062" s="2587">
        <v>2.7447163055377699E-2</v>
      </c>
    </row>
    <row r="4063" spans="1:7" x14ac:dyDescent="0.25">
      <c r="A4063" s="11" t="s">
        <v>3201</v>
      </c>
      <c r="B4063" s="11"/>
      <c r="C4063" s="2588">
        <v>5</v>
      </c>
      <c r="D4063" s="2588">
        <v>877571.22551373497</v>
      </c>
      <c r="E4063" s="2589">
        <v>942594.42143194599</v>
      </c>
      <c r="F4063" s="2590">
        <v>1.6062099448093701E-2</v>
      </c>
      <c r="G4063" s="2591">
        <v>1.7210477706027499E-2</v>
      </c>
    </row>
    <row r="4064" spans="1:7" x14ac:dyDescent="0.25">
      <c r="A4064" s="6" t="s">
        <v>1017</v>
      </c>
      <c r="B4064" s="6"/>
      <c r="C4064" s="2584">
        <v>2</v>
      </c>
      <c r="D4064" s="2584">
        <v>120864.71683870599</v>
      </c>
      <c r="E4064" s="2585">
        <v>124641.353546509</v>
      </c>
      <c r="F4064" s="2586">
        <v>2.2121749724559399E-3</v>
      </c>
      <c r="G4064" s="2587">
        <v>2.2812200853223699E-3</v>
      </c>
    </row>
    <row r="4065" spans="1:7" x14ac:dyDescent="0.25">
      <c r="A4065" s="11" t="s">
        <v>1177</v>
      </c>
      <c r="B4065" s="11"/>
      <c r="C4065" s="2588">
        <v>1</v>
      </c>
      <c r="D4065" s="2588">
        <v>114078.556083068</v>
      </c>
      <c r="E4065" s="2589">
        <v>116882.165819434</v>
      </c>
      <c r="F4065" s="2590">
        <v>2.0879685425288499E-3</v>
      </c>
      <c r="G4065" s="2591">
        <v>2.13962860661884E-3</v>
      </c>
    </row>
    <row r="4066" spans="1:7" x14ac:dyDescent="0.25">
      <c r="A4066" s="6" t="s">
        <v>1019</v>
      </c>
      <c r="B4066" s="6"/>
      <c r="C4066" s="2584">
        <v>2</v>
      </c>
      <c r="D4066" s="2584">
        <v>53886.368939827502</v>
      </c>
      <c r="E4066" s="2585">
        <v>54259.895366935802</v>
      </c>
      <c r="F4066" s="2586">
        <v>9.8627688744180398E-4</v>
      </c>
      <c r="G4066" s="2587">
        <v>9.92208687277413E-4</v>
      </c>
    </row>
    <row r="4067" spans="1:7" x14ac:dyDescent="0.25">
      <c r="A4067" s="11" t="s">
        <v>6293</v>
      </c>
      <c r="B4067" s="11" t="s">
        <v>6294</v>
      </c>
      <c r="C4067" s="2588">
        <v>19775</v>
      </c>
      <c r="D4067" s="2588">
        <v>5463614693.3948202</v>
      </c>
      <c r="E4067" s="2589">
        <v>72575038.820940599</v>
      </c>
      <c r="F4067" s="2590">
        <v>100</v>
      </c>
      <c r="G4067" s="2591">
        <v>1.88971010377597E-13</v>
      </c>
    </row>
    <row r="4068" spans="1:7" x14ac:dyDescent="0.25">
      <c r="A4068" s="6" t="s">
        <v>6293</v>
      </c>
      <c r="B4068" s="6" t="s">
        <v>6295</v>
      </c>
      <c r="C4068" s="2584">
        <v>19775</v>
      </c>
      <c r="D4068" s="2584">
        <v>5463614693.3948202</v>
      </c>
      <c r="E4068" s="2585">
        <v>0</v>
      </c>
      <c r="F4068" s="2586">
        <v>100</v>
      </c>
      <c r="G4068" s="2587">
        <v>0</v>
      </c>
    </row>
    <row r="4069" spans="1:7" x14ac:dyDescent="0.25">
      <c r="A4069" s="3353" t="s">
        <v>421</v>
      </c>
      <c r="B4069" s="3354"/>
      <c r="C4069" s="3354"/>
      <c r="D4069" s="3354"/>
      <c r="E4069" s="3354"/>
      <c r="F4069" s="3354"/>
      <c r="G4069" s="3354"/>
    </row>
    <row r="4070" spans="1:7" x14ac:dyDescent="0.25">
      <c r="A4070" s="11" t="s">
        <v>6296</v>
      </c>
      <c r="B4070" s="11"/>
      <c r="C4070" s="2596">
        <v>10024</v>
      </c>
      <c r="D4070" s="2596">
        <v>2680931638.69591</v>
      </c>
      <c r="E4070" s="2597">
        <v>79760791.419299796</v>
      </c>
      <c r="F4070" s="2598">
        <v>49.0688269422985</v>
      </c>
      <c r="G4070" s="2599">
        <v>1.1690970396654501</v>
      </c>
    </row>
    <row r="4071" spans="1:7" x14ac:dyDescent="0.25">
      <c r="A4071" s="6" t="s">
        <v>6298</v>
      </c>
      <c r="B4071" s="6"/>
      <c r="C4071" s="2592">
        <v>6553</v>
      </c>
      <c r="D4071" s="2592">
        <v>1650635370.81142</v>
      </c>
      <c r="E4071" s="2593">
        <v>32084316.490196198</v>
      </c>
      <c r="F4071" s="2594">
        <v>30.211416130916501</v>
      </c>
      <c r="G4071" s="2595">
        <v>0.76966849784775704</v>
      </c>
    </row>
    <row r="4072" spans="1:7" x14ac:dyDescent="0.25">
      <c r="A4072" s="11" t="s">
        <v>6297</v>
      </c>
      <c r="B4072" s="11"/>
      <c r="C4072" s="2596">
        <v>1703</v>
      </c>
      <c r="D4072" s="2596">
        <v>627994148.26163697</v>
      </c>
      <c r="E4072" s="2597">
        <v>68340567.868250802</v>
      </c>
      <c r="F4072" s="2598">
        <v>11.494114858078101</v>
      </c>
      <c r="G4072" s="2599">
        <v>1.2676737362417001</v>
      </c>
    </row>
    <row r="4073" spans="1:7" x14ac:dyDescent="0.25">
      <c r="A4073" s="6" t="s">
        <v>6300</v>
      </c>
      <c r="B4073" s="6"/>
      <c r="C4073" s="2592">
        <v>933</v>
      </c>
      <c r="D4073" s="2592">
        <v>306963156.25778902</v>
      </c>
      <c r="E4073" s="2593">
        <v>67744314.506545007</v>
      </c>
      <c r="F4073" s="2594">
        <v>5.6183163250674903</v>
      </c>
      <c r="G4073" s="2595">
        <v>1.2305376941550601</v>
      </c>
    </row>
    <row r="4074" spans="1:7" x14ac:dyDescent="0.25">
      <c r="A4074" s="11" t="s">
        <v>6301</v>
      </c>
      <c r="B4074" s="11"/>
      <c r="C4074" s="2596">
        <v>177</v>
      </c>
      <c r="D4074" s="2596">
        <v>91258125.295937002</v>
      </c>
      <c r="E4074" s="2597">
        <v>38660430.922476202</v>
      </c>
      <c r="F4074" s="2598">
        <v>1.67028845219012</v>
      </c>
      <c r="G4074" s="2599">
        <v>0.70010082039161603</v>
      </c>
    </row>
    <row r="4075" spans="1:7" x14ac:dyDescent="0.25">
      <c r="A4075" s="6" t="s">
        <v>6299</v>
      </c>
      <c r="B4075" s="6"/>
      <c r="C4075" s="2592">
        <v>306</v>
      </c>
      <c r="D4075" s="2592">
        <v>88471758.310672507</v>
      </c>
      <c r="E4075" s="2593">
        <v>28087765.819819</v>
      </c>
      <c r="F4075" s="2594">
        <v>1.6192898525152</v>
      </c>
      <c r="G4075" s="2595">
        <v>0.50391940300520599</v>
      </c>
    </row>
    <row r="4076" spans="1:7" x14ac:dyDescent="0.25">
      <c r="A4076" s="11" t="s">
        <v>6302</v>
      </c>
      <c r="B4076" s="11"/>
      <c r="C4076" s="2596">
        <v>50</v>
      </c>
      <c r="D4076" s="2596">
        <v>10031037.1320554</v>
      </c>
      <c r="E4076" s="2597">
        <v>4465443.6216548597</v>
      </c>
      <c r="F4076" s="2598">
        <v>0.18359708169359501</v>
      </c>
      <c r="G4076" s="2599">
        <v>8.1970543305806803E-2</v>
      </c>
    </row>
    <row r="4077" spans="1:7" x14ac:dyDescent="0.25">
      <c r="A4077" s="6" t="s">
        <v>6303</v>
      </c>
      <c r="B4077" s="6"/>
      <c r="C4077" s="2592">
        <v>10</v>
      </c>
      <c r="D4077" s="2592">
        <v>2702122.8497053999</v>
      </c>
      <c r="E4077" s="2593">
        <v>2250009.99840385</v>
      </c>
      <c r="F4077" s="2594">
        <v>4.9456687583992402E-2</v>
      </c>
      <c r="G4077" s="2595">
        <v>4.1324912022443497E-2</v>
      </c>
    </row>
    <row r="4078" spans="1:7" x14ac:dyDescent="0.25">
      <c r="A4078" s="11" t="s">
        <v>6304</v>
      </c>
      <c r="B4078" s="11"/>
      <c r="C4078" s="2596">
        <v>7</v>
      </c>
      <c r="D4078" s="2596">
        <v>2046731.5895311299</v>
      </c>
      <c r="E4078" s="2597">
        <v>1343502.03491048</v>
      </c>
      <c r="F4078" s="2598">
        <v>3.7461126093051397E-2</v>
      </c>
      <c r="G4078" s="2599">
        <v>2.4615681898150301E-2</v>
      </c>
    </row>
    <row r="4079" spans="1:7" x14ac:dyDescent="0.25">
      <c r="A4079" s="6" t="s">
        <v>3071</v>
      </c>
      <c r="B4079" s="6"/>
      <c r="C4079" s="2592">
        <v>2</v>
      </c>
      <c r="D4079" s="2592">
        <v>1414203.3228174599</v>
      </c>
      <c r="E4079" s="2593">
        <v>1500343.6189784401</v>
      </c>
      <c r="F4079" s="2594">
        <v>2.5884023712857002E-2</v>
      </c>
      <c r="G4079" s="2595">
        <v>2.74471630553778E-2</v>
      </c>
    </row>
    <row r="4080" spans="1:7" x14ac:dyDescent="0.25">
      <c r="A4080" s="11" t="s">
        <v>1185</v>
      </c>
      <c r="B4080" s="11"/>
      <c r="C4080" s="2596">
        <v>5</v>
      </c>
      <c r="D4080" s="2596">
        <v>877571.22551373497</v>
      </c>
      <c r="E4080" s="2597">
        <v>942594.42143194599</v>
      </c>
      <c r="F4080" s="2598">
        <v>1.60620994480936E-2</v>
      </c>
      <c r="G4080" s="2599">
        <v>1.7210477706027499E-2</v>
      </c>
    </row>
    <row r="4081" spans="1:7" x14ac:dyDescent="0.25">
      <c r="A4081" s="6" t="s">
        <v>1019</v>
      </c>
      <c r="B4081" s="6"/>
      <c r="C4081" s="2592">
        <v>2</v>
      </c>
      <c r="D4081" s="2592">
        <v>120864.71683870599</v>
      </c>
      <c r="E4081" s="2593">
        <v>124641.353546509</v>
      </c>
      <c r="F4081" s="2594">
        <v>2.2121749724559299E-3</v>
      </c>
      <c r="G4081" s="2595">
        <v>2.2812200853223699E-3</v>
      </c>
    </row>
    <row r="4082" spans="1:7" x14ac:dyDescent="0.25">
      <c r="A4082" s="11" t="s">
        <v>1069</v>
      </c>
      <c r="B4082" s="11"/>
      <c r="C4082" s="2596">
        <v>1</v>
      </c>
      <c r="D4082" s="2596">
        <v>114078.556083068</v>
      </c>
      <c r="E4082" s="2597">
        <v>116882.165819434</v>
      </c>
      <c r="F4082" s="2598">
        <v>2.0879685425288399E-3</v>
      </c>
      <c r="G4082" s="2599">
        <v>2.13962860661884E-3</v>
      </c>
    </row>
    <row r="4083" spans="1:7" x14ac:dyDescent="0.25">
      <c r="A4083" s="6" t="s">
        <v>1023</v>
      </c>
      <c r="B4083" s="6"/>
      <c r="C4083" s="2592">
        <v>2</v>
      </c>
      <c r="D4083" s="2592">
        <v>53886.368939827502</v>
      </c>
      <c r="E4083" s="2593">
        <v>54259.895366935802</v>
      </c>
      <c r="F4083" s="2594">
        <v>9.8627688744179791E-4</v>
      </c>
      <c r="G4083" s="2595">
        <v>9.9220868727741408E-4</v>
      </c>
    </row>
    <row r="4084" spans="1:7" x14ac:dyDescent="0.25">
      <c r="A4084" s="11" t="s">
        <v>6293</v>
      </c>
      <c r="B4084" s="11" t="s">
        <v>6294</v>
      </c>
      <c r="C4084" s="2596">
        <v>19775</v>
      </c>
      <c r="D4084" s="2596">
        <v>5463614693.3948498</v>
      </c>
      <c r="E4084" s="2597">
        <v>72575038.820915103</v>
      </c>
      <c r="F4084" s="2598">
        <v>100</v>
      </c>
      <c r="G4084" s="2599">
        <v>1.45362315675074E-14</v>
      </c>
    </row>
    <row r="4085" spans="1:7" x14ac:dyDescent="0.25">
      <c r="A4085" s="6" t="s">
        <v>6293</v>
      </c>
      <c r="B4085" s="6" t="s">
        <v>6295</v>
      </c>
      <c r="C4085" s="2592">
        <v>19775</v>
      </c>
      <c r="D4085" s="2592">
        <v>5463614693.3948498</v>
      </c>
      <c r="E4085" s="2593">
        <v>0</v>
      </c>
      <c r="F4085" s="2594">
        <v>100</v>
      </c>
      <c r="G4085" s="2595">
        <v>0</v>
      </c>
    </row>
    <row r="4086" spans="1:7" x14ac:dyDescent="0.25">
      <c r="A4086" s="3353" t="s">
        <v>512</v>
      </c>
      <c r="B4086" s="3354"/>
      <c r="C4086" s="3354"/>
      <c r="D4086" s="3354"/>
      <c r="E4086" s="3354"/>
      <c r="F4086" s="3354"/>
      <c r="G4086" s="3354"/>
    </row>
    <row r="4087" spans="1:7" x14ac:dyDescent="0.25">
      <c r="A4087" s="11" t="s">
        <v>986</v>
      </c>
      <c r="B4087" s="11" t="s">
        <v>1062</v>
      </c>
      <c r="C4087" s="2604">
        <v>12965</v>
      </c>
      <c r="D4087" s="2604">
        <v>3314387435.8153601</v>
      </c>
      <c r="E4087" s="2605">
        <v>65375960.279143602</v>
      </c>
      <c r="F4087" s="2606">
        <v>71.8739771551503</v>
      </c>
      <c r="G4087" s="2607">
        <v>1.30298016080533</v>
      </c>
    </row>
    <row r="4088" spans="1:7" x14ac:dyDescent="0.25">
      <c r="A4088" s="6" t="s">
        <v>984</v>
      </c>
      <c r="B4088" s="6" t="s">
        <v>1061</v>
      </c>
      <c r="C4088" s="2600">
        <v>4318</v>
      </c>
      <c r="D4088" s="2600">
        <v>1296999838.13607</v>
      </c>
      <c r="E4088" s="2601">
        <v>72081374.770024598</v>
      </c>
      <c r="F4088" s="2602">
        <v>28.1260228448497</v>
      </c>
      <c r="G4088" s="2603">
        <v>1.30298016080533</v>
      </c>
    </row>
    <row r="4089" spans="1:7" x14ac:dyDescent="0.25">
      <c r="A4089" s="11" t="s">
        <v>982</v>
      </c>
      <c r="B4089" s="11" t="s">
        <v>983</v>
      </c>
      <c r="C4089" s="2604">
        <v>2496</v>
      </c>
      <c r="D4089" s="2604">
        <v>852227419.44343305</v>
      </c>
      <c r="E4089" s="2605">
        <v>75976104.214897096</v>
      </c>
      <c r="F4089" s="2606">
        <v>100</v>
      </c>
      <c r="G4089" s="2607">
        <v>0</v>
      </c>
    </row>
    <row r="4090" spans="1:7" x14ac:dyDescent="0.25">
      <c r="A4090" s="6" t="s">
        <v>6293</v>
      </c>
      <c r="B4090" s="6" t="s">
        <v>6294</v>
      </c>
      <c r="C4090" s="2600">
        <v>17283</v>
      </c>
      <c r="D4090" s="2600">
        <v>4611387273.9514303</v>
      </c>
      <c r="E4090" s="2601">
        <v>80947418.231123507</v>
      </c>
      <c r="F4090" s="2602">
        <v>84.401765730776802</v>
      </c>
      <c r="G4090" s="2603">
        <v>1.32017241534866</v>
      </c>
    </row>
    <row r="4091" spans="1:7" x14ac:dyDescent="0.25">
      <c r="A4091" s="11" t="s">
        <v>6293</v>
      </c>
      <c r="B4091" s="11" t="s">
        <v>6295</v>
      </c>
      <c r="C4091" s="2604">
        <v>19779</v>
      </c>
      <c r="D4091" s="2604">
        <v>5463614693.3948698</v>
      </c>
      <c r="E4091" s="2605">
        <v>0</v>
      </c>
      <c r="F4091" s="2606">
        <v>100</v>
      </c>
      <c r="G4091" s="2607">
        <v>0</v>
      </c>
    </row>
    <row r="4092" spans="1:7" x14ac:dyDescent="0.25">
      <c r="A4092" s="3353" t="s">
        <v>523</v>
      </c>
      <c r="B4092" s="3354"/>
      <c r="C4092" s="3354"/>
      <c r="D4092" s="3354"/>
      <c r="E4092" s="3354"/>
      <c r="F4092" s="3354"/>
      <c r="G4092" s="3354"/>
    </row>
    <row r="4093" spans="1:7" x14ac:dyDescent="0.25">
      <c r="A4093" s="11" t="s">
        <v>986</v>
      </c>
      <c r="B4093" s="11" t="s">
        <v>1062</v>
      </c>
      <c r="C4093" s="2612">
        <v>19685</v>
      </c>
      <c r="D4093" s="2612">
        <v>5384740784.7089396</v>
      </c>
      <c r="E4093" s="2613">
        <v>80071393.599464506</v>
      </c>
      <c r="F4093" s="2614">
        <v>98.556378641026697</v>
      </c>
      <c r="G4093" s="2615">
        <v>0.40940429032668102</v>
      </c>
    </row>
    <row r="4094" spans="1:7" x14ac:dyDescent="0.25">
      <c r="A4094" s="6" t="s">
        <v>984</v>
      </c>
      <c r="B4094" s="6" t="s">
        <v>1061</v>
      </c>
      <c r="C4094" s="2608">
        <v>94</v>
      </c>
      <c r="D4094" s="2608">
        <v>78873908.685852706</v>
      </c>
      <c r="E4094" s="2609">
        <v>22160190.0097377</v>
      </c>
      <c r="F4094" s="2610">
        <v>1.44362135897333</v>
      </c>
      <c r="G4094" s="2611">
        <v>0.40940429032667502</v>
      </c>
    </row>
    <row r="4095" spans="1:7" x14ac:dyDescent="0.25">
      <c r="A4095" s="11" t="s">
        <v>6293</v>
      </c>
      <c r="B4095" s="11" t="s">
        <v>6294</v>
      </c>
      <c r="C4095" s="2612">
        <v>19779</v>
      </c>
      <c r="D4095" s="2612">
        <v>5463614693.3948002</v>
      </c>
      <c r="E4095" s="2613">
        <v>72575038.820992395</v>
      </c>
      <c r="F4095" s="2614">
        <v>100</v>
      </c>
      <c r="G4095" s="2615">
        <v>2.5177491625509499E-14</v>
      </c>
    </row>
    <row r="4096" spans="1:7" x14ac:dyDescent="0.25">
      <c r="A4096" s="6" t="s">
        <v>6293</v>
      </c>
      <c r="B4096" s="6" t="s">
        <v>6295</v>
      </c>
      <c r="C4096" s="2608">
        <v>19779</v>
      </c>
      <c r="D4096" s="2608">
        <v>5463614693.3948002</v>
      </c>
      <c r="E4096" s="2609">
        <v>0</v>
      </c>
      <c r="F4096" s="2610">
        <v>100</v>
      </c>
      <c r="G4096" s="2611">
        <v>0</v>
      </c>
    </row>
    <row r="4097" spans="1:7" x14ac:dyDescent="0.25">
      <c r="A4097" s="3353" t="s">
        <v>771</v>
      </c>
      <c r="B4097" s="3354"/>
      <c r="C4097" s="3354"/>
      <c r="D4097" s="3354"/>
      <c r="E4097" s="3354"/>
      <c r="F4097" s="3354"/>
      <c r="G4097" s="3354"/>
    </row>
    <row r="4098" spans="1:7" x14ac:dyDescent="0.25">
      <c r="A4098" s="11" t="s">
        <v>6099</v>
      </c>
      <c r="B4098" s="11" t="s">
        <v>6100</v>
      </c>
      <c r="C4098" s="2620">
        <v>7159</v>
      </c>
      <c r="D4098" s="2620">
        <v>2068428442.39587</v>
      </c>
      <c r="E4098" s="2621">
        <v>84191639.439264402</v>
      </c>
      <c r="F4098" s="2622">
        <v>37.858575997800898</v>
      </c>
      <c r="G4098" s="2623">
        <v>1.37822178421223</v>
      </c>
    </row>
    <row r="4099" spans="1:7" x14ac:dyDescent="0.25">
      <c r="A4099" s="6" t="s">
        <v>6103</v>
      </c>
      <c r="B4099" s="6" t="s">
        <v>6104</v>
      </c>
      <c r="C4099" s="2616">
        <v>4601</v>
      </c>
      <c r="D4099" s="2616">
        <v>1015332124.00327</v>
      </c>
      <c r="E4099" s="2617">
        <v>64240691.723606497</v>
      </c>
      <c r="F4099" s="2618">
        <v>18.5836877852357</v>
      </c>
      <c r="G4099" s="2619">
        <v>1.1340782523611499</v>
      </c>
    </row>
    <row r="4100" spans="1:7" x14ac:dyDescent="0.25">
      <c r="A4100" s="11" t="s">
        <v>6097</v>
      </c>
      <c r="B4100" s="11" t="s">
        <v>6098</v>
      </c>
      <c r="C4100" s="2620">
        <v>3508</v>
      </c>
      <c r="D4100" s="2620">
        <v>956835190.525365</v>
      </c>
      <c r="E4100" s="2621">
        <v>67853217.876165107</v>
      </c>
      <c r="F4100" s="2622">
        <v>17.5130147291515</v>
      </c>
      <c r="G4100" s="2623">
        <v>1.23613372949318</v>
      </c>
    </row>
    <row r="4101" spans="1:7" x14ac:dyDescent="0.25">
      <c r="A4101" s="6" t="s">
        <v>6101</v>
      </c>
      <c r="B4101" s="6" t="s">
        <v>6102</v>
      </c>
      <c r="C4101" s="2616">
        <v>2036</v>
      </c>
      <c r="D4101" s="2616">
        <v>744417480.41171896</v>
      </c>
      <c r="E4101" s="2617">
        <v>43369566.653410703</v>
      </c>
      <c r="F4101" s="2618">
        <v>13.6251200083163</v>
      </c>
      <c r="G4101" s="2619">
        <v>0.81235481052013303</v>
      </c>
    </row>
    <row r="4102" spans="1:7" x14ac:dyDescent="0.25">
      <c r="A4102" s="11" t="s">
        <v>6105</v>
      </c>
      <c r="B4102" s="11" t="s">
        <v>6106</v>
      </c>
      <c r="C4102" s="2620">
        <v>2474</v>
      </c>
      <c r="D4102" s="2620">
        <v>678553174.97685206</v>
      </c>
      <c r="E4102" s="2621">
        <v>69545502.019595295</v>
      </c>
      <c r="F4102" s="2622">
        <v>12.419601479495499</v>
      </c>
      <c r="G4102" s="2623">
        <v>1.2647525930894301</v>
      </c>
    </row>
    <row r="4103" spans="1:7" x14ac:dyDescent="0.25">
      <c r="A4103" s="6" t="s">
        <v>996</v>
      </c>
      <c r="B4103" s="6" t="s">
        <v>997</v>
      </c>
      <c r="C4103" s="2616">
        <v>1</v>
      </c>
      <c r="D4103" s="2616">
        <v>48281.081775408697</v>
      </c>
      <c r="E4103" s="2617">
        <v>52904.096734556202</v>
      </c>
      <c r="F4103" s="2618">
        <v>100</v>
      </c>
      <c r="G4103" s="2619" t="e">
        <v>#NUM!</v>
      </c>
    </row>
    <row r="4104" spans="1:7" x14ac:dyDescent="0.25">
      <c r="A4104" s="11" t="s">
        <v>6293</v>
      </c>
      <c r="B4104" s="11" t="s">
        <v>6294</v>
      </c>
      <c r="C4104" s="2620">
        <v>19778</v>
      </c>
      <c r="D4104" s="2620">
        <v>5463566412.3130703</v>
      </c>
      <c r="E4104" s="2621">
        <v>72556706.416026801</v>
      </c>
      <c r="F4104" s="2622">
        <v>99.9991163161298</v>
      </c>
      <c r="G4104" s="2623">
        <v>9.66860954201392E-4</v>
      </c>
    </row>
    <row r="4105" spans="1:7" x14ac:dyDescent="0.25">
      <c r="A4105" s="6" t="s">
        <v>6293</v>
      </c>
      <c r="B4105" s="6" t="s">
        <v>6295</v>
      </c>
      <c r="C4105" s="2616">
        <v>19779</v>
      </c>
      <c r="D4105" s="2616">
        <v>5463614693.3948498</v>
      </c>
      <c r="E4105" s="2617">
        <v>0</v>
      </c>
      <c r="F4105" s="2618">
        <v>100</v>
      </c>
      <c r="G4105" s="2619">
        <v>0</v>
      </c>
    </row>
    <row r="4106" spans="1:7" x14ac:dyDescent="0.25">
      <c r="A4106" s="3353" t="s">
        <v>164</v>
      </c>
      <c r="B4106" s="3354"/>
      <c r="C4106" s="3354"/>
      <c r="D4106" s="3354"/>
      <c r="E4106" s="3354"/>
      <c r="F4106" s="3354"/>
      <c r="G4106" s="3354"/>
    </row>
    <row r="4107" spans="1:7" x14ac:dyDescent="0.25">
      <c r="A4107" s="11" t="s">
        <v>996</v>
      </c>
      <c r="B4107" s="11" t="s">
        <v>997</v>
      </c>
      <c r="C4107" s="2628">
        <v>4759</v>
      </c>
      <c r="D4107" s="2628">
        <v>1356380734.71838</v>
      </c>
      <c r="E4107" s="2629">
        <v>14992008.6068408</v>
      </c>
      <c r="F4107" s="2630">
        <v>100</v>
      </c>
      <c r="G4107" s="2631">
        <v>0</v>
      </c>
    </row>
    <row r="4108" spans="1:7" x14ac:dyDescent="0.25">
      <c r="A4108" s="6" t="s">
        <v>6293</v>
      </c>
      <c r="B4108" s="6" t="s">
        <v>6294</v>
      </c>
      <c r="C4108" s="2624">
        <v>14988</v>
      </c>
      <c r="D4108" s="2624">
        <v>4107233958.6764798</v>
      </c>
      <c r="E4108" s="2625">
        <v>63846947.728140198</v>
      </c>
      <c r="F4108" s="2626">
        <v>75.174297405009995</v>
      </c>
      <c r="G4108" s="2627">
        <v>0.25792380605839299</v>
      </c>
    </row>
    <row r="4109" spans="1:7" x14ac:dyDescent="0.25">
      <c r="A4109" s="11" t="s">
        <v>6293</v>
      </c>
      <c r="B4109" s="11" t="s">
        <v>6295</v>
      </c>
      <c r="C4109" s="2628">
        <v>19747</v>
      </c>
      <c r="D4109" s="2628">
        <v>5463614693.3948698</v>
      </c>
      <c r="E4109" s="2629">
        <v>0</v>
      </c>
      <c r="F4109" s="2630">
        <v>100</v>
      </c>
      <c r="G4109" s="2631">
        <v>0</v>
      </c>
    </row>
    <row r="4110" spans="1:7" x14ac:dyDescent="0.25">
      <c r="A4110" s="3353" t="s">
        <v>655</v>
      </c>
      <c r="B4110" s="3354"/>
      <c r="C4110" s="3354"/>
      <c r="D4110" s="3354"/>
      <c r="E4110" s="3354"/>
      <c r="F4110" s="3354"/>
      <c r="G4110" s="3354"/>
    </row>
    <row r="4111" spans="1:7" x14ac:dyDescent="0.25">
      <c r="A4111" s="11" t="s">
        <v>986</v>
      </c>
      <c r="B4111" s="11" t="s">
        <v>1062</v>
      </c>
      <c r="C4111" s="2636">
        <v>16189</v>
      </c>
      <c r="D4111" s="2636">
        <v>5271632107.7142601</v>
      </c>
      <c r="E4111" s="2637">
        <v>73278963.966809303</v>
      </c>
      <c r="F4111" s="2638">
        <v>96.4861616996414</v>
      </c>
      <c r="G4111" s="2639">
        <v>0.61491340873715195</v>
      </c>
    </row>
    <row r="4112" spans="1:7" x14ac:dyDescent="0.25">
      <c r="A4112" s="6" t="s">
        <v>984</v>
      </c>
      <c r="B4112" s="6" t="s">
        <v>1061</v>
      </c>
      <c r="C4112" s="2632">
        <v>3590</v>
      </c>
      <c r="D4112" s="2632">
        <v>191982585.680529</v>
      </c>
      <c r="E4112" s="2633">
        <v>33993209.973614402</v>
      </c>
      <c r="F4112" s="2634">
        <v>3.51383830035864</v>
      </c>
      <c r="G4112" s="2635">
        <v>0.61491340873714595</v>
      </c>
    </row>
    <row r="4113" spans="1:7" x14ac:dyDescent="0.25">
      <c r="A4113" s="11" t="s">
        <v>6293</v>
      </c>
      <c r="B4113" s="11" t="s">
        <v>6294</v>
      </c>
      <c r="C4113" s="2636">
        <v>19779</v>
      </c>
      <c r="D4113" s="2636">
        <v>5463614693.3947897</v>
      </c>
      <c r="E4113" s="2637">
        <v>72575038.820979699</v>
      </c>
      <c r="F4113" s="2638">
        <v>100</v>
      </c>
      <c r="G4113" s="2639">
        <v>0</v>
      </c>
    </row>
    <row r="4114" spans="1:7" x14ac:dyDescent="0.25">
      <c r="A4114" s="6" t="s">
        <v>6293</v>
      </c>
      <c r="B4114" s="6" t="s">
        <v>6295</v>
      </c>
      <c r="C4114" s="2632">
        <v>19779</v>
      </c>
      <c r="D4114" s="2632">
        <v>5463614693.3947897</v>
      </c>
      <c r="E4114" s="2633">
        <v>0</v>
      </c>
      <c r="F4114" s="2634">
        <v>100</v>
      </c>
      <c r="G4114" s="2635">
        <v>0</v>
      </c>
    </row>
    <row r="4115" spans="1:7" x14ac:dyDescent="0.25">
      <c r="A4115" s="3353" t="s">
        <v>844</v>
      </c>
      <c r="B4115" s="3354"/>
      <c r="C4115" s="3354"/>
      <c r="D4115" s="3354"/>
      <c r="E4115" s="3354"/>
      <c r="F4115" s="3354"/>
      <c r="G4115" s="3354"/>
    </row>
    <row r="4116" spans="1:7" x14ac:dyDescent="0.25">
      <c r="A4116" s="11" t="s">
        <v>982</v>
      </c>
      <c r="B4116" s="11" t="s">
        <v>983</v>
      </c>
      <c r="C4116" s="2644">
        <v>7235</v>
      </c>
      <c r="D4116" s="2644">
        <v>2253336170.91185</v>
      </c>
      <c r="E4116" s="2645">
        <v>73094117.312446102</v>
      </c>
      <c r="F4116" s="2646">
        <v>100</v>
      </c>
      <c r="G4116" s="2647">
        <v>0</v>
      </c>
    </row>
    <row r="4117" spans="1:7" x14ac:dyDescent="0.25">
      <c r="A4117" s="6" t="s">
        <v>6293</v>
      </c>
      <c r="B4117" s="6" t="s">
        <v>6294</v>
      </c>
      <c r="C4117" s="2640">
        <v>11620</v>
      </c>
      <c r="D4117" s="2640">
        <v>3210278522.4830298</v>
      </c>
      <c r="E4117" s="2641">
        <v>67569927.889671504</v>
      </c>
      <c r="F4117" s="2642">
        <v>58.7574106637502</v>
      </c>
      <c r="G4117" s="2643">
        <v>1.1193338210457</v>
      </c>
    </row>
    <row r="4118" spans="1:7" x14ac:dyDescent="0.25">
      <c r="A4118" s="11" t="s">
        <v>6293</v>
      </c>
      <c r="B4118" s="11" t="s">
        <v>6295</v>
      </c>
      <c r="C4118" s="2644">
        <v>18855</v>
      </c>
      <c r="D4118" s="2644">
        <v>5463614693.3948698</v>
      </c>
      <c r="E4118" s="2645">
        <v>0</v>
      </c>
      <c r="F4118" s="2646">
        <v>100</v>
      </c>
      <c r="G4118" s="2647">
        <v>0</v>
      </c>
    </row>
    <row r="4119" spans="1:7" x14ac:dyDescent="0.25">
      <c r="A4119" s="3353" t="s">
        <v>846</v>
      </c>
      <c r="B4119" s="3354"/>
      <c r="C4119" s="3354"/>
      <c r="D4119" s="3354"/>
      <c r="E4119" s="3354"/>
      <c r="F4119" s="3354"/>
      <c r="G4119" s="3354"/>
    </row>
    <row r="4120" spans="1:7" x14ac:dyDescent="0.25">
      <c r="A4120" s="11" t="s">
        <v>982</v>
      </c>
      <c r="B4120" s="11" t="s">
        <v>983</v>
      </c>
      <c r="C4120" s="2652">
        <v>7235</v>
      </c>
      <c r="D4120" s="2652">
        <v>2253336170.91185</v>
      </c>
      <c r="E4120" s="2653">
        <v>73094117.312446102</v>
      </c>
      <c r="F4120" s="2654">
        <v>100</v>
      </c>
      <c r="G4120" s="2655">
        <v>0</v>
      </c>
    </row>
    <row r="4121" spans="1:7" x14ac:dyDescent="0.25">
      <c r="A4121" s="6" t="s">
        <v>6293</v>
      </c>
      <c r="B4121" s="6" t="s">
        <v>6294</v>
      </c>
      <c r="C4121" s="2648">
        <v>11622</v>
      </c>
      <c r="D4121" s="2648">
        <v>3210278522.4830298</v>
      </c>
      <c r="E4121" s="2649">
        <v>67569927.889671504</v>
      </c>
      <c r="F4121" s="2650">
        <v>58.7574106637502</v>
      </c>
      <c r="G4121" s="2651">
        <v>1.1193338210457</v>
      </c>
    </row>
    <row r="4122" spans="1:7" x14ac:dyDescent="0.25">
      <c r="A4122" s="11" t="s">
        <v>6293</v>
      </c>
      <c r="B4122" s="11" t="s">
        <v>6295</v>
      </c>
      <c r="C4122" s="2652">
        <v>18857</v>
      </c>
      <c r="D4122" s="2652">
        <v>5463614693.3948698</v>
      </c>
      <c r="E4122" s="2653">
        <v>0</v>
      </c>
      <c r="F4122" s="2654">
        <v>100</v>
      </c>
      <c r="G4122" s="2655">
        <v>0</v>
      </c>
    </row>
    <row r="4123" spans="1:7" x14ac:dyDescent="0.25">
      <c r="A4123" s="3353" t="s">
        <v>162</v>
      </c>
      <c r="B4123" s="3354"/>
      <c r="C4123" s="3354"/>
      <c r="D4123" s="3354"/>
      <c r="E4123" s="3354"/>
      <c r="F4123" s="3354"/>
      <c r="G4123" s="3354"/>
    </row>
    <row r="4124" spans="1:7" x14ac:dyDescent="0.25">
      <c r="A4124" s="11" t="s">
        <v>984</v>
      </c>
      <c r="B4124" s="11" t="s">
        <v>1061</v>
      </c>
      <c r="C4124" s="2660">
        <v>12965</v>
      </c>
      <c r="D4124" s="2660">
        <v>3314387435.8153601</v>
      </c>
      <c r="E4124" s="2661">
        <v>65375960.279143602</v>
      </c>
      <c r="F4124" s="2662">
        <v>71.8739771551503</v>
      </c>
      <c r="G4124" s="2663">
        <v>1.30298016080533</v>
      </c>
    </row>
    <row r="4125" spans="1:7" x14ac:dyDescent="0.25">
      <c r="A4125" s="6" t="s">
        <v>986</v>
      </c>
      <c r="B4125" s="6" t="s">
        <v>1062</v>
      </c>
      <c r="C4125" s="2656">
        <v>4318</v>
      </c>
      <c r="D4125" s="2656">
        <v>1296999838.13607</v>
      </c>
      <c r="E4125" s="2657">
        <v>72081374.770024598</v>
      </c>
      <c r="F4125" s="2658">
        <v>28.1260228448497</v>
      </c>
      <c r="G4125" s="2659">
        <v>1.30298016080533</v>
      </c>
    </row>
    <row r="4126" spans="1:7" x14ac:dyDescent="0.25">
      <c r="A4126" s="11" t="s">
        <v>982</v>
      </c>
      <c r="B4126" s="11" t="s">
        <v>983</v>
      </c>
      <c r="C4126" s="2660">
        <v>2496</v>
      </c>
      <c r="D4126" s="2660">
        <v>852227419.44343305</v>
      </c>
      <c r="E4126" s="2661">
        <v>75976104.214897096</v>
      </c>
      <c r="F4126" s="2662">
        <v>100</v>
      </c>
      <c r="G4126" s="2663">
        <v>0</v>
      </c>
    </row>
    <row r="4127" spans="1:7" x14ac:dyDescent="0.25">
      <c r="A4127" s="6" t="s">
        <v>6293</v>
      </c>
      <c r="B4127" s="6" t="s">
        <v>6294</v>
      </c>
      <c r="C4127" s="2656">
        <v>17283</v>
      </c>
      <c r="D4127" s="2656">
        <v>4611387273.9514303</v>
      </c>
      <c r="E4127" s="2657">
        <v>80947418.231123507</v>
      </c>
      <c r="F4127" s="2658">
        <v>84.401765730776802</v>
      </c>
      <c r="G4127" s="2659">
        <v>1.32017241534866</v>
      </c>
    </row>
    <row r="4128" spans="1:7" x14ac:dyDescent="0.25">
      <c r="A4128" s="11" t="s">
        <v>6293</v>
      </c>
      <c r="B4128" s="11" t="s">
        <v>6295</v>
      </c>
      <c r="C4128" s="2660">
        <v>19779</v>
      </c>
      <c r="D4128" s="2660">
        <v>5463614693.3948698</v>
      </c>
      <c r="E4128" s="2661">
        <v>0</v>
      </c>
      <c r="F4128" s="2662">
        <v>100</v>
      </c>
      <c r="G4128" s="2663">
        <v>0</v>
      </c>
    </row>
    <row r="4129" spans="1:7" x14ac:dyDescent="0.25">
      <c r="A4129" s="3353" t="s">
        <v>904</v>
      </c>
      <c r="B4129" s="3354"/>
      <c r="C4129" s="3354"/>
      <c r="D4129" s="3354"/>
      <c r="E4129" s="3354"/>
      <c r="F4129" s="3354"/>
      <c r="G4129" s="3354"/>
    </row>
    <row r="4130" spans="1:7" x14ac:dyDescent="0.25">
      <c r="A4130" s="11" t="s">
        <v>984</v>
      </c>
      <c r="B4130" s="11" t="s">
        <v>6169</v>
      </c>
      <c r="C4130" s="2668">
        <v>6910</v>
      </c>
      <c r="D4130" s="2668">
        <v>1952171589.4054301</v>
      </c>
      <c r="E4130" s="2669">
        <v>35971389.234087698</v>
      </c>
      <c r="F4130" s="2670">
        <v>35.730403752033801</v>
      </c>
      <c r="G4130" s="2671">
        <v>0.62344454095232005</v>
      </c>
    </row>
    <row r="4131" spans="1:7" x14ac:dyDescent="0.25">
      <c r="A4131" s="6" t="s">
        <v>1181</v>
      </c>
      <c r="B4131" s="6" t="s">
        <v>6172</v>
      </c>
      <c r="C4131" s="2664">
        <v>4623</v>
      </c>
      <c r="D4131" s="2664">
        <v>899709841.62460494</v>
      </c>
      <c r="E4131" s="2665">
        <v>50741647.354342602</v>
      </c>
      <c r="F4131" s="2666">
        <v>16.467300351767001</v>
      </c>
      <c r="G4131" s="2667">
        <v>0.91277788461945097</v>
      </c>
    </row>
    <row r="4132" spans="1:7" x14ac:dyDescent="0.25">
      <c r="A4132" s="11" t="s">
        <v>1017</v>
      </c>
      <c r="B4132" s="11" t="s">
        <v>1008</v>
      </c>
      <c r="C4132" s="2668">
        <v>1905</v>
      </c>
      <c r="D4132" s="2668">
        <v>686800352.44447899</v>
      </c>
      <c r="E4132" s="2669">
        <v>43970057.964814901</v>
      </c>
      <c r="F4132" s="2670">
        <v>12.5704390039578</v>
      </c>
      <c r="G4132" s="2671">
        <v>0.80859730946837505</v>
      </c>
    </row>
    <row r="4133" spans="1:7" x14ac:dyDescent="0.25">
      <c r="A4133" s="6" t="s">
        <v>1183</v>
      </c>
      <c r="B4133" s="6" t="s">
        <v>6173</v>
      </c>
      <c r="C4133" s="2664">
        <v>2173</v>
      </c>
      <c r="D4133" s="2664">
        <v>576189072.81160498</v>
      </c>
      <c r="E4133" s="2665">
        <v>54034520.953900799</v>
      </c>
      <c r="F4133" s="2666">
        <v>10.545931679775601</v>
      </c>
      <c r="G4133" s="2667">
        <v>0.97174551058109404</v>
      </c>
    </row>
    <row r="4134" spans="1:7" x14ac:dyDescent="0.25">
      <c r="A4134" s="11" t="s">
        <v>1187</v>
      </c>
      <c r="B4134" s="11" t="s">
        <v>6175</v>
      </c>
      <c r="C4134" s="2668">
        <v>1050</v>
      </c>
      <c r="D4134" s="2668">
        <v>422451913.79961598</v>
      </c>
      <c r="E4134" s="2669">
        <v>49189514.693374902</v>
      </c>
      <c r="F4134" s="2670">
        <v>7.7320956455866403</v>
      </c>
      <c r="G4134" s="2671">
        <v>0.88882834802862498</v>
      </c>
    </row>
    <row r="4135" spans="1:7" x14ac:dyDescent="0.25">
      <c r="A4135" s="6" t="s">
        <v>1177</v>
      </c>
      <c r="B4135" s="6" t="s">
        <v>6170</v>
      </c>
      <c r="C4135" s="2664">
        <v>756</v>
      </c>
      <c r="D4135" s="2664">
        <v>353659527.01501399</v>
      </c>
      <c r="E4135" s="2665">
        <v>26941885.046078902</v>
      </c>
      <c r="F4135" s="2666">
        <v>6.47299538605027</v>
      </c>
      <c r="G4135" s="2667">
        <v>0.50287662261466304</v>
      </c>
    </row>
    <row r="4136" spans="1:7" x14ac:dyDescent="0.25">
      <c r="A4136" s="11" t="s">
        <v>1189</v>
      </c>
      <c r="B4136" s="11" t="s">
        <v>6176</v>
      </c>
      <c r="C4136" s="2668">
        <v>1413</v>
      </c>
      <c r="D4136" s="2668">
        <v>326179911.14639801</v>
      </c>
      <c r="E4136" s="2669">
        <v>36230571.518010199</v>
      </c>
      <c r="F4136" s="2670">
        <v>5.97003869143128</v>
      </c>
      <c r="G4136" s="2671">
        <v>0.62466922446165696</v>
      </c>
    </row>
    <row r="4137" spans="1:7" x14ac:dyDescent="0.25">
      <c r="A4137" s="6" t="s">
        <v>1005</v>
      </c>
      <c r="B4137" s="6" t="s">
        <v>1037</v>
      </c>
      <c r="C4137" s="2664">
        <v>501</v>
      </c>
      <c r="D4137" s="2664">
        <v>144874158.45611599</v>
      </c>
      <c r="E4137" s="2665">
        <v>27643560.318638399</v>
      </c>
      <c r="F4137" s="2666">
        <v>2.6516174105626198</v>
      </c>
      <c r="G4137" s="2667">
        <v>0.50397759318090996</v>
      </c>
    </row>
    <row r="4138" spans="1:7" x14ac:dyDescent="0.25">
      <c r="A4138" s="11" t="s">
        <v>1179</v>
      </c>
      <c r="B4138" s="11" t="s">
        <v>6171</v>
      </c>
      <c r="C4138" s="2668">
        <v>448</v>
      </c>
      <c r="D4138" s="2668">
        <v>101578326.69160201</v>
      </c>
      <c r="E4138" s="2669">
        <v>13930483.197663501</v>
      </c>
      <c r="F4138" s="2670">
        <v>1.8591780788349299</v>
      </c>
      <c r="G4138" s="2671">
        <v>0.24708907411092201</v>
      </c>
    </row>
    <row r="4139" spans="1:7" x14ac:dyDescent="0.25">
      <c r="A4139" s="6" t="s">
        <v>6293</v>
      </c>
      <c r="B4139" s="6" t="s">
        <v>6294</v>
      </c>
      <c r="C4139" s="2664">
        <v>19779</v>
      </c>
      <c r="D4139" s="2664">
        <v>5463614693.3948603</v>
      </c>
      <c r="E4139" s="2665">
        <v>72575038.820910901</v>
      </c>
      <c r="F4139" s="2666">
        <v>100</v>
      </c>
      <c r="G4139" s="2667">
        <v>1.78031750616652E-14</v>
      </c>
    </row>
    <row r="4140" spans="1:7" x14ac:dyDescent="0.25">
      <c r="A4140" s="11" t="s">
        <v>6293</v>
      </c>
      <c r="B4140" s="11" t="s">
        <v>6295</v>
      </c>
      <c r="C4140" s="2668">
        <v>19779</v>
      </c>
      <c r="D4140" s="2668">
        <v>5463614693.3948603</v>
      </c>
      <c r="E4140" s="2669">
        <v>0</v>
      </c>
      <c r="F4140" s="2670">
        <v>100</v>
      </c>
      <c r="G4140" s="2671">
        <v>0</v>
      </c>
    </row>
    <row r="4141" spans="1:7" x14ac:dyDescent="0.25">
      <c r="A4141" s="3353" t="s">
        <v>906</v>
      </c>
      <c r="B4141" s="3354"/>
      <c r="C4141" s="3354"/>
      <c r="D4141" s="3354"/>
      <c r="E4141" s="3354"/>
      <c r="F4141" s="3354"/>
      <c r="G4141" s="3354"/>
    </row>
    <row r="4142" spans="1:7" x14ac:dyDescent="0.25">
      <c r="A4142" s="11" t="s">
        <v>990</v>
      </c>
      <c r="B4142" s="11" t="s">
        <v>6180</v>
      </c>
      <c r="C4142" s="2676">
        <v>3661</v>
      </c>
      <c r="D4142" s="2676">
        <v>1043983867.66076</v>
      </c>
      <c r="E4142" s="2677">
        <v>73280646.915225893</v>
      </c>
      <c r="F4142" s="2678">
        <v>19.107933597932298</v>
      </c>
      <c r="G4142" s="2679">
        <v>1.31220592478163</v>
      </c>
    </row>
    <row r="4143" spans="1:7" x14ac:dyDescent="0.25">
      <c r="A4143" s="6" t="s">
        <v>1017</v>
      </c>
      <c r="B4143" s="6" t="s">
        <v>6184</v>
      </c>
      <c r="C4143" s="2672">
        <v>4121</v>
      </c>
      <c r="D4143" s="2672">
        <v>987994374.46596897</v>
      </c>
      <c r="E4143" s="2673">
        <v>59473451.325506702</v>
      </c>
      <c r="F4143" s="2674">
        <v>18.083163435012899</v>
      </c>
      <c r="G4143" s="2675">
        <v>1.0193727026067201</v>
      </c>
    </row>
    <row r="4144" spans="1:7" x14ac:dyDescent="0.25">
      <c r="A4144" s="11" t="s">
        <v>984</v>
      </c>
      <c r="B4144" s="11" t="s">
        <v>6177</v>
      </c>
      <c r="C4144" s="2676">
        <v>2569</v>
      </c>
      <c r="D4144" s="2676">
        <v>964793190.51849997</v>
      </c>
      <c r="E4144" s="2677">
        <v>48598357.280224003</v>
      </c>
      <c r="F4144" s="2678">
        <v>17.658514457193899</v>
      </c>
      <c r="G4144" s="2679">
        <v>0.90431161860437403</v>
      </c>
    </row>
    <row r="4145" spans="1:7" x14ac:dyDescent="0.25">
      <c r="A4145" s="6" t="s">
        <v>988</v>
      </c>
      <c r="B4145" s="6" t="s">
        <v>6179</v>
      </c>
      <c r="C4145" s="2672">
        <v>4576</v>
      </c>
      <c r="D4145" s="2672">
        <v>915632909.11771798</v>
      </c>
      <c r="E4145" s="2673">
        <v>71630773.239055797</v>
      </c>
      <c r="F4145" s="2674">
        <v>16.758738683103999</v>
      </c>
      <c r="G4145" s="2675">
        <v>1.3287744083852999</v>
      </c>
    </row>
    <row r="4146" spans="1:7" x14ac:dyDescent="0.25">
      <c r="A4146" s="11" t="s">
        <v>992</v>
      </c>
      <c r="B4146" s="11" t="s">
        <v>6181</v>
      </c>
      <c r="C4146" s="2676">
        <v>1358</v>
      </c>
      <c r="D4146" s="2676">
        <v>632304233.78826106</v>
      </c>
      <c r="E4146" s="2677">
        <v>45494074.950746201</v>
      </c>
      <c r="F4146" s="2678">
        <v>11.5730019276922</v>
      </c>
      <c r="G4146" s="2679">
        <v>0.85441696509494403</v>
      </c>
    </row>
    <row r="4147" spans="1:7" x14ac:dyDescent="0.25">
      <c r="A4147" s="6" t="s">
        <v>1019</v>
      </c>
      <c r="B4147" s="6" t="s">
        <v>3245</v>
      </c>
      <c r="C4147" s="2672">
        <v>1276</v>
      </c>
      <c r="D4147" s="2672">
        <v>362272052.55931801</v>
      </c>
      <c r="E4147" s="2673">
        <v>23819882.327123001</v>
      </c>
      <c r="F4147" s="2674">
        <v>6.6306295902835304</v>
      </c>
      <c r="G4147" s="2675">
        <v>0.425387307622278</v>
      </c>
    </row>
    <row r="4148" spans="1:7" x14ac:dyDescent="0.25">
      <c r="A4148" s="11" t="s">
        <v>1013</v>
      </c>
      <c r="B4148" s="11" t="s">
        <v>6183</v>
      </c>
      <c r="C4148" s="2676">
        <v>1214</v>
      </c>
      <c r="D4148" s="2676">
        <v>316532517.17521399</v>
      </c>
      <c r="E4148" s="2677">
        <v>39575223.102973402</v>
      </c>
      <c r="F4148" s="2678">
        <v>5.7934633926122201</v>
      </c>
      <c r="G4148" s="2679">
        <v>0.70396323730952604</v>
      </c>
    </row>
    <row r="4149" spans="1:7" x14ac:dyDescent="0.25">
      <c r="A4149" s="6" t="s">
        <v>994</v>
      </c>
      <c r="B4149" s="6" t="s">
        <v>6182</v>
      </c>
      <c r="C4149" s="2672">
        <v>724</v>
      </c>
      <c r="D4149" s="2672">
        <v>163495246.446233</v>
      </c>
      <c r="E4149" s="2673">
        <v>24055687.347239599</v>
      </c>
      <c r="F4149" s="2674">
        <v>2.9924373445273802</v>
      </c>
      <c r="G4149" s="2675">
        <v>0.43255832080582401</v>
      </c>
    </row>
    <row r="4150" spans="1:7" x14ac:dyDescent="0.25">
      <c r="A4150" s="11" t="s">
        <v>986</v>
      </c>
      <c r="B4150" s="11" t="s">
        <v>6178</v>
      </c>
      <c r="C4150" s="2676">
        <v>274</v>
      </c>
      <c r="D4150" s="2676">
        <v>74549980.985212997</v>
      </c>
      <c r="E4150" s="2677">
        <v>16806893.831864201</v>
      </c>
      <c r="F4150" s="2678">
        <v>1.3644809374156399</v>
      </c>
      <c r="G4150" s="2679">
        <v>0.29720254686963199</v>
      </c>
    </row>
    <row r="4151" spans="1:7" x14ac:dyDescent="0.25">
      <c r="A4151" s="6" t="s">
        <v>3246</v>
      </c>
      <c r="B4151" s="6" t="s">
        <v>6185</v>
      </c>
      <c r="C4151" s="2672">
        <v>6</v>
      </c>
      <c r="D4151" s="2672">
        <v>2056320.6776753999</v>
      </c>
      <c r="E4151" s="2673">
        <v>1936107.28156352</v>
      </c>
      <c r="F4151" s="2674">
        <v>3.7636634226080302E-2</v>
      </c>
      <c r="G4151" s="2675">
        <v>3.5301944849583503E-2</v>
      </c>
    </row>
    <row r="4152" spans="1:7" x14ac:dyDescent="0.25">
      <c r="A4152" s="11" t="s">
        <v>6293</v>
      </c>
      <c r="B4152" s="11" t="s">
        <v>6294</v>
      </c>
      <c r="C4152" s="2676">
        <v>19779</v>
      </c>
      <c r="D4152" s="2676">
        <v>5463614693.3948603</v>
      </c>
      <c r="E4152" s="2677">
        <v>72575038.820915997</v>
      </c>
      <c r="F4152" s="2678">
        <v>100</v>
      </c>
      <c r="G4152" s="2679">
        <v>1.04317086095645E-13</v>
      </c>
    </row>
    <row r="4153" spans="1:7" x14ac:dyDescent="0.25">
      <c r="A4153" s="6" t="s">
        <v>6293</v>
      </c>
      <c r="B4153" s="6" t="s">
        <v>6295</v>
      </c>
      <c r="C4153" s="2672">
        <v>19779</v>
      </c>
      <c r="D4153" s="2672">
        <v>5463614693.3948603</v>
      </c>
      <c r="E4153" s="2673">
        <v>0</v>
      </c>
      <c r="F4153" s="2674">
        <v>100</v>
      </c>
      <c r="G4153" s="2675">
        <v>0</v>
      </c>
    </row>
    <row r="4154" spans="1:7" x14ac:dyDescent="0.25">
      <c r="A4154" s="3353" t="s">
        <v>662</v>
      </c>
      <c r="B4154" s="3354"/>
      <c r="C4154" s="3354"/>
      <c r="D4154" s="3354"/>
      <c r="E4154" s="3354"/>
      <c r="F4154" s="3354"/>
      <c r="G4154" s="3354"/>
    </row>
    <row r="4155" spans="1:7" x14ac:dyDescent="0.25">
      <c r="A4155" s="11" t="s">
        <v>984</v>
      </c>
      <c r="B4155" s="11" t="s">
        <v>853</v>
      </c>
      <c r="C4155" s="2684">
        <v>115</v>
      </c>
      <c r="D4155" s="2684">
        <v>90738251.264420003</v>
      </c>
      <c r="E4155" s="2685">
        <v>24101894.050334301</v>
      </c>
      <c r="F4155" s="2686">
        <v>100</v>
      </c>
      <c r="G4155" s="2687">
        <v>0</v>
      </c>
    </row>
    <row r="4156" spans="1:7" x14ac:dyDescent="0.25">
      <c r="A4156" s="6" t="s">
        <v>982</v>
      </c>
      <c r="B4156" s="6" t="s">
        <v>983</v>
      </c>
      <c r="C4156" s="2680">
        <v>19662</v>
      </c>
      <c r="D4156" s="2680">
        <v>5372876442.1303797</v>
      </c>
      <c r="E4156" s="2681">
        <v>80648362.096890703</v>
      </c>
      <c r="F4156" s="2682">
        <v>100</v>
      </c>
      <c r="G4156" s="2683">
        <v>0</v>
      </c>
    </row>
    <row r="4157" spans="1:7" x14ac:dyDescent="0.25">
      <c r="A4157" s="11" t="s">
        <v>6293</v>
      </c>
      <c r="B4157" s="11" t="s">
        <v>6294</v>
      </c>
      <c r="C4157" s="2684">
        <v>115</v>
      </c>
      <c r="D4157" s="2684">
        <v>90738251.264420003</v>
      </c>
      <c r="E4157" s="2685">
        <v>24101894.050334301</v>
      </c>
      <c r="F4157" s="2686">
        <v>1.6607732491479901</v>
      </c>
      <c r="G4157" s="2687">
        <v>0.44506282220354099</v>
      </c>
    </row>
    <row r="4158" spans="1:7" x14ac:dyDescent="0.25">
      <c r="A4158" s="6" t="s">
        <v>6293</v>
      </c>
      <c r="B4158" s="6" t="s">
        <v>6295</v>
      </c>
      <c r="C4158" s="2680">
        <v>19777</v>
      </c>
      <c r="D4158" s="2680">
        <v>5463614693.3948002</v>
      </c>
      <c r="E4158" s="2681">
        <v>0</v>
      </c>
      <c r="F4158" s="2682">
        <v>100</v>
      </c>
      <c r="G4158" s="2683">
        <v>0</v>
      </c>
    </row>
    <row r="4159" spans="1:7" x14ac:dyDescent="0.25">
      <c r="A4159" s="3353" t="s">
        <v>685</v>
      </c>
      <c r="B4159" s="3354"/>
      <c r="C4159" s="3354"/>
      <c r="D4159" s="3354"/>
      <c r="E4159" s="3354"/>
      <c r="F4159" s="3354"/>
      <c r="G4159" s="3354"/>
    </row>
    <row r="4160" spans="1:7" x14ac:dyDescent="0.25">
      <c r="A4160" s="11" t="s">
        <v>982</v>
      </c>
      <c r="B4160" s="11" t="s">
        <v>983</v>
      </c>
      <c r="C4160" s="2692">
        <v>19775</v>
      </c>
      <c r="D4160" s="2692">
        <v>5463614693.3948002</v>
      </c>
      <c r="E4160" s="2693">
        <v>72575038.820973307</v>
      </c>
      <c r="F4160" s="2694">
        <v>100</v>
      </c>
      <c r="G4160" s="2695">
        <v>0</v>
      </c>
    </row>
    <row r="4161" spans="1:7" x14ac:dyDescent="0.25">
      <c r="A4161" s="6" t="s">
        <v>6293</v>
      </c>
      <c r="B4161" s="6" t="s">
        <v>6294</v>
      </c>
      <c r="C4161" s="2688">
        <v>0</v>
      </c>
      <c r="D4161" s="2688">
        <v>0</v>
      </c>
      <c r="E4161" s="2689">
        <v>0</v>
      </c>
      <c r="F4161" s="2690">
        <v>0</v>
      </c>
      <c r="G4161" s="2691">
        <v>0</v>
      </c>
    </row>
    <row r="4162" spans="1:7" x14ac:dyDescent="0.25">
      <c r="A4162" s="11" t="s">
        <v>6293</v>
      </c>
      <c r="B4162" s="11" t="s">
        <v>6295</v>
      </c>
      <c r="C4162" s="2692">
        <v>19775</v>
      </c>
      <c r="D4162" s="2692">
        <v>5463614693.3948002</v>
      </c>
      <c r="E4162" s="2693">
        <v>0</v>
      </c>
      <c r="F4162" s="2694">
        <v>100</v>
      </c>
      <c r="G4162" s="2695">
        <v>0</v>
      </c>
    </row>
    <row r="4163" spans="1:7" x14ac:dyDescent="0.25">
      <c r="A4163" s="3353" t="s">
        <v>689</v>
      </c>
      <c r="B4163" s="3354"/>
      <c r="C4163" s="3354"/>
      <c r="D4163" s="3354"/>
      <c r="E4163" s="3354"/>
      <c r="F4163" s="3354"/>
      <c r="G4163" s="3354"/>
    </row>
    <row r="4164" spans="1:7" x14ac:dyDescent="0.25">
      <c r="A4164" s="11" t="s">
        <v>988</v>
      </c>
      <c r="B4164" s="11" t="s">
        <v>6056</v>
      </c>
      <c r="C4164" s="2700">
        <v>6</v>
      </c>
      <c r="D4164" s="2700">
        <v>3732230.3254987099</v>
      </c>
      <c r="E4164" s="2701">
        <v>2753407.6160374298</v>
      </c>
      <c r="F4164" s="2702">
        <v>100</v>
      </c>
      <c r="G4164" s="2703">
        <v>0</v>
      </c>
    </row>
    <row r="4165" spans="1:7" x14ac:dyDescent="0.25">
      <c r="A4165" s="6" t="s">
        <v>982</v>
      </c>
      <c r="B4165" s="6" t="s">
        <v>983</v>
      </c>
      <c r="C4165" s="2696">
        <v>19771</v>
      </c>
      <c r="D4165" s="2696">
        <v>5459882463.0692997</v>
      </c>
      <c r="E4165" s="2697">
        <v>73139056.607436404</v>
      </c>
      <c r="F4165" s="2698">
        <v>100</v>
      </c>
      <c r="G4165" s="2699">
        <v>0</v>
      </c>
    </row>
    <row r="4166" spans="1:7" x14ac:dyDescent="0.25">
      <c r="A4166" s="11" t="s">
        <v>6293</v>
      </c>
      <c r="B4166" s="11" t="s">
        <v>6294</v>
      </c>
      <c r="C4166" s="2700">
        <v>6</v>
      </c>
      <c r="D4166" s="2700">
        <v>3732230.3254987099</v>
      </c>
      <c r="E4166" s="2701">
        <v>2753407.6160374298</v>
      </c>
      <c r="F4166" s="2702">
        <v>6.8310642952380193E-2</v>
      </c>
      <c r="G4166" s="2703">
        <v>5.0511435675342699E-2</v>
      </c>
    </row>
    <row r="4167" spans="1:7" x14ac:dyDescent="0.25">
      <c r="A4167" s="6" t="s">
        <v>6293</v>
      </c>
      <c r="B4167" s="6" t="s">
        <v>6295</v>
      </c>
      <c r="C4167" s="2696">
        <v>19777</v>
      </c>
      <c r="D4167" s="2696">
        <v>5463614693.3948002</v>
      </c>
      <c r="E4167" s="2697">
        <v>0</v>
      </c>
      <c r="F4167" s="2698">
        <v>100</v>
      </c>
      <c r="G4167" s="2699">
        <v>0</v>
      </c>
    </row>
    <row r="4168" spans="1:7" x14ac:dyDescent="0.25">
      <c r="A4168" s="3353" t="s">
        <v>691</v>
      </c>
      <c r="B4168" s="3354"/>
      <c r="C4168" s="3354"/>
      <c r="D4168" s="3354"/>
      <c r="E4168" s="3354"/>
      <c r="F4168" s="3354"/>
      <c r="G4168" s="3354"/>
    </row>
    <row r="4169" spans="1:7" x14ac:dyDescent="0.25">
      <c r="A4169" s="11" t="s">
        <v>982</v>
      </c>
      <c r="B4169" s="11" t="s">
        <v>983</v>
      </c>
      <c r="C4169" s="2708">
        <v>19777</v>
      </c>
      <c r="D4169" s="2708">
        <v>5463614693.3948002</v>
      </c>
      <c r="E4169" s="2709">
        <v>72575038.820973307</v>
      </c>
      <c r="F4169" s="2710">
        <v>100</v>
      </c>
      <c r="G4169" s="2711">
        <v>0</v>
      </c>
    </row>
    <row r="4170" spans="1:7" x14ac:dyDescent="0.25">
      <c r="A4170" s="6" t="s">
        <v>6293</v>
      </c>
      <c r="B4170" s="6" t="s">
        <v>6294</v>
      </c>
      <c r="C4170" s="2704">
        <v>0</v>
      </c>
      <c r="D4170" s="2704">
        <v>0</v>
      </c>
      <c r="E4170" s="2705">
        <v>0</v>
      </c>
      <c r="F4170" s="2706">
        <v>0</v>
      </c>
      <c r="G4170" s="2707">
        <v>0</v>
      </c>
    </row>
    <row r="4171" spans="1:7" x14ac:dyDescent="0.25">
      <c r="A4171" s="11" t="s">
        <v>6293</v>
      </c>
      <c r="B4171" s="11" t="s">
        <v>6295</v>
      </c>
      <c r="C4171" s="2708">
        <v>19777</v>
      </c>
      <c r="D4171" s="2708">
        <v>5463614693.3948002</v>
      </c>
      <c r="E4171" s="2709">
        <v>0</v>
      </c>
      <c r="F4171" s="2710">
        <v>100</v>
      </c>
      <c r="G4171" s="2711">
        <v>0</v>
      </c>
    </row>
    <row r="4172" spans="1:7" x14ac:dyDescent="0.25">
      <c r="A4172" s="3353" t="s">
        <v>693</v>
      </c>
      <c r="B4172" s="3354"/>
      <c r="C4172" s="3354"/>
      <c r="D4172" s="3354"/>
      <c r="E4172" s="3354"/>
      <c r="F4172" s="3354"/>
      <c r="G4172" s="3354"/>
    </row>
    <row r="4173" spans="1:7" x14ac:dyDescent="0.25">
      <c r="A4173" s="11" t="s">
        <v>992</v>
      </c>
      <c r="B4173" s="11" t="s">
        <v>6077</v>
      </c>
      <c r="C4173" s="2716">
        <v>1</v>
      </c>
      <c r="D4173" s="2716">
        <v>23804.007283446001</v>
      </c>
      <c r="E4173" s="2717">
        <v>25388.4041173119</v>
      </c>
      <c r="F4173" s="2718">
        <v>100</v>
      </c>
      <c r="G4173" s="2719" t="e">
        <v>#NUM!</v>
      </c>
    </row>
    <row r="4174" spans="1:7" x14ac:dyDescent="0.25">
      <c r="A4174" s="6" t="s">
        <v>982</v>
      </c>
      <c r="B4174" s="6" t="s">
        <v>983</v>
      </c>
      <c r="C4174" s="2712">
        <v>19776</v>
      </c>
      <c r="D4174" s="2712">
        <v>5463590889.3875103</v>
      </c>
      <c r="E4174" s="2713">
        <v>72568892.780053899</v>
      </c>
      <c r="F4174" s="2714">
        <v>100</v>
      </c>
      <c r="G4174" s="2715">
        <v>0</v>
      </c>
    </row>
    <row r="4175" spans="1:7" x14ac:dyDescent="0.25">
      <c r="A4175" s="11" t="s">
        <v>6293</v>
      </c>
      <c r="B4175" s="11" t="s">
        <v>6294</v>
      </c>
      <c r="C4175" s="2716">
        <v>1</v>
      </c>
      <c r="D4175" s="2716">
        <v>23804.007283446001</v>
      </c>
      <c r="E4175" s="2717">
        <v>25388.4041173119</v>
      </c>
      <c r="F4175" s="2718">
        <v>4.3568239378636501E-4</v>
      </c>
      <c r="G4175" s="2719">
        <v>4.6371273118056002E-4</v>
      </c>
    </row>
    <row r="4176" spans="1:7" x14ac:dyDescent="0.25">
      <c r="A4176" s="6" t="s">
        <v>6293</v>
      </c>
      <c r="B4176" s="6" t="s">
        <v>6295</v>
      </c>
      <c r="C4176" s="2712">
        <v>19777</v>
      </c>
      <c r="D4176" s="2712">
        <v>5463614693.3948002</v>
      </c>
      <c r="E4176" s="2713">
        <v>0</v>
      </c>
      <c r="F4176" s="2714">
        <v>100</v>
      </c>
      <c r="G4176" s="2715">
        <v>0</v>
      </c>
    </row>
    <row r="4177" spans="1:7" x14ac:dyDescent="0.25">
      <c r="A4177" s="3353" t="s">
        <v>695</v>
      </c>
      <c r="B4177" s="3354"/>
      <c r="C4177" s="3354"/>
      <c r="D4177" s="3354"/>
      <c r="E4177" s="3354"/>
      <c r="F4177" s="3354"/>
      <c r="G4177" s="3354"/>
    </row>
    <row r="4178" spans="1:7" x14ac:dyDescent="0.25">
      <c r="A4178" s="11" t="s">
        <v>982</v>
      </c>
      <c r="B4178" s="11" t="s">
        <v>983</v>
      </c>
      <c r="C4178" s="2724">
        <v>19776</v>
      </c>
      <c r="D4178" s="2724">
        <v>5463614693.3948002</v>
      </c>
      <c r="E4178" s="2725">
        <v>72575038.820973307</v>
      </c>
      <c r="F4178" s="2726">
        <v>100</v>
      </c>
      <c r="G4178" s="2727">
        <v>0</v>
      </c>
    </row>
    <row r="4179" spans="1:7" x14ac:dyDescent="0.25">
      <c r="A4179" s="6" t="s">
        <v>6293</v>
      </c>
      <c r="B4179" s="6" t="s">
        <v>6294</v>
      </c>
      <c r="C4179" s="2720">
        <v>0</v>
      </c>
      <c r="D4179" s="2720">
        <v>0</v>
      </c>
      <c r="E4179" s="2721">
        <v>0</v>
      </c>
      <c r="F4179" s="2722">
        <v>0</v>
      </c>
      <c r="G4179" s="2723">
        <v>0</v>
      </c>
    </row>
    <row r="4180" spans="1:7" x14ac:dyDescent="0.25">
      <c r="A4180" s="11" t="s">
        <v>6293</v>
      </c>
      <c r="B4180" s="11" t="s">
        <v>6295</v>
      </c>
      <c r="C4180" s="2724">
        <v>19776</v>
      </c>
      <c r="D4180" s="2724">
        <v>5463614693.3948002</v>
      </c>
      <c r="E4180" s="2725">
        <v>0</v>
      </c>
      <c r="F4180" s="2726">
        <v>100</v>
      </c>
      <c r="G4180" s="2727">
        <v>0</v>
      </c>
    </row>
    <row r="4181" spans="1:7" x14ac:dyDescent="0.25">
      <c r="A4181" s="3353" t="s">
        <v>697</v>
      </c>
      <c r="B4181" s="3354"/>
      <c r="C4181" s="3354"/>
      <c r="D4181" s="3354"/>
      <c r="E4181" s="3354"/>
      <c r="F4181" s="3354"/>
      <c r="G4181" s="3354"/>
    </row>
    <row r="4182" spans="1:7" x14ac:dyDescent="0.25">
      <c r="A4182" s="11" t="s">
        <v>982</v>
      </c>
      <c r="B4182" s="11" t="s">
        <v>983</v>
      </c>
      <c r="C4182" s="2732">
        <v>19777</v>
      </c>
      <c r="D4182" s="2732">
        <v>5463614693.3948002</v>
      </c>
      <c r="E4182" s="2733">
        <v>72575038.820973307</v>
      </c>
      <c r="F4182" s="2734">
        <v>100</v>
      </c>
      <c r="G4182" s="2735">
        <v>0</v>
      </c>
    </row>
    <row r="4183" spans="1:7" x14ac:dyDescent="0.25">
      <c r="A4183" s="6" t="s">
        <v>6293</v>
      </c>
      <c r="B4183" s="6" t="s">
        <v>6294</v>
      </c>
      <c r="C4183" s="2728">
        <v>0</v>
      </c>
      <c r="D4183" s="2728">
        <v>0</v>
      </c>
      <c r="E4183" s="2729">
        <v>0</v>
      </c>
      <c r="F4183" s="2730">
        <v>0</v>
      </c>
      <c r="G4183" s="2731">
        <v>0</v>
      </c>
    </row>
    <row r="4184" spans="1:7" x14ac:dyDescent="0.25">
      <c r="A4184" s="11" t="s">
        <v>6293</v>
      </c>
      <c r="B4184" s="11" t="s">
        <v>6295</v>
      </c>
      <c r="C4184" s="2732">
        <v>19777</v>
      </c>
      <c r="D4184" s="2732">
        <v>5463614693.3948002</v>
      </c>
      <c r="E4184" s="2733">
        <v>0</v>
      </c>
      <c r="F4184" s="2734">
        <v>100</v>
      </c>
      <c r="G4184" s="2735">
        <v>0</v>
      </c>
    </row>
    <row r="4185" spans="1:7" x14ac:dyDescent="0.25">
      <c r="A4185" s="3353" t="s">
        <v>699</v>
      </c>
      <c r="B4185" s="3354"/>
      <c r="C4185" s="3354"/>
      <c r="D4185" s="3354"/>
      <c r="E4185" s="3354"/>
      <c r="F4185" s="3354"/>
      <c r="G4185" s="3354"/>
    </row>
    <row r="4186" spans="1:7" x14ac:dyDescent="0.25">
      <c r="A4186" s="11" t="s">
        <v>982</v>
      </c>
      <c r="B4186" s="11" t="s">
        <v>983</v>
      </c>
      <c r="C4186" s="2740">
        <v>19777</v>
      </c>
      <c r="D4186" s="2740">
        <v>5463614693.3948002</v>
      </c>
      <c r="E4186" s="2741">
        <v>72575038.820973307</v>
      </c>
      <c r="F4186" s="2742">
        <v>100</v>
      </c>
      <c r="G4186" s="2743">
        <v>0</v>
      </c>
    </row>
    <row r="4187" spans="1:7" x14ac:dyDescent="0.25">
      <c r="A4187" s="6" t="s">
        <v>6293</v>
      </c>
      <c r="B4187" s="6" t="s">
        <v>6294</v>
      </c>
      <c r="C4187" s="2736">
        <v>0</v>
      </c>
      <c r="D4187" s="2736">
        <v>0</v>
      </c>
      <c r="E4187" s="2737">
        <v>0</v>
      </c>
      <c r="F4187" s="2738">
        <v>0</v>
      </c>
      <c r="G4187" s="2739">
        <v>0</v>
      </c>
    </row>
    <row r="4188" spans="1:7" x14ac:dyDescent="0.25">
      <c r="A4188" s="11" t="s">
        <v>6293</v>
      </c>
      <c r="B4188" s="11" t="s">
        <v>6295</v>
      </c>
      <c r="C4188" s="2740">
        <v>19777</v>
      </c>
      <c r="D4188" s="2740">
        <v>5463614693.3948002</v>
      </c>
      <c r="E4188" s="2741">
        <v>0</v>
      </c>
      <c r="F4188" s="2742">
        <v>100</v>
      </c>
      <c r="G4188" s="2743">
        <v>0</v>
      </c>
    </row>
    <row r="4189" spans="1:7" x14ac:dyDescent="0.25">
      <c r="A4189" s="3353" t="s">
        <v>701</v>
      </c>
      <c r="B4189" s="3354"/>
      <c r="C4189" s="3354"/>
      <c r="D4189" s="3354"/>
      <c r="E4189" s="3354"/>
      <c r="F4189" s="3354"/>
      <c r="G4189" s="3354"/>
    </row>
    <row r="4190" spans="1:7" x14ac:dyDescent="0.25">
      <c r="A4190" s="11" t="s">
        <v>982</v>
      </c>
      <c r="B4190" s="11" t="s">
        <v>983</v>
      </c>
      <c r="C4190" s="2748">
        <v>19777</v>
      </c>
      <c r="D4190" s="2748">
        <v>5463614693.3948002</v>
      </c>
      <c r="E4190" s="2749">
        <v>72575038.820973307</v>
      </c>
      <c r="F4190" s="2750">
        <v>100</v>
      </c>
      <c r="G4190" s="2751">
        <v>0</v>
      </c>
    </row>
    <row r="4191" spans="1:7" x14ac:dyDescent="0.25">
      <c r="A4191" s="6" t="s">
        <v>6293</v>
      </c>
      <c r="B4191" s="6" t="s">
        <v>6294</v>
      </c>
      <c r="C4191" s="2744">
        <v>0</v>
      </c>
      <c r="D4191" s="2744">
        <v>0</v>
      </c>
      <c r="E4191" s="2745">
        <v>0</v>
      </c>
      <c r="F4191" s="2746">
        <v>0</v>
      </c>
      <c r="G4191" s="2747">
        <v>0</v>
      </c>
    </row>
    <row r="4192" spans="1:7" x14ac:dyDescent="0.25">
      <c r="A4192" s="11" t="s">
        <v>6293</v>
      </c>
      <c r="B4192" s="11" t="s">
        <v>6295</v>
      </c>
      <c r="C4192" s="2748">
        <v>19777</v>
      </c>
      <c r="D4192" s="2748">
        <v>5463614693.3948002</v>
      </c>
      <c r="E4192" s="2749">
        <v>0</v>
      </c>
      <c r="F4192" s="2750">
        <v>100</v>
      </c>
      <c r="G4192" s="2751">
        <v>0</v>
      </c>
    </row>
    <row r="4193" spans="1:7" x14ac:dyDescent="0.25">
      <c r="A4193" s="3353" t="s">
        <v>665</v>
      </c>
      <c r="B4193" s="3354"/>
      <c r="C4193" s="3354"/>
      <c r="D4193" s="3354"/>
      <c r="E4193" s="3354"/>
      <c r="F4193" s="3354"/>
      <c r="G4193" s="3354"/>
    </row>
    <row r="4194" spans="1:7" x14ac:dyDescent="0.25">
      <c r="A4194" s="11" t="s">
        <v>982</v>
      </c>
      <c r="B4194" s="11" t="s">
        <v>983</v>
      </c>
      <c r="C4194" s="2756">
        <v>19777</v>
      </c>
      <c r="D4194" s="2756">
        <v>5463614693.3948002</v>
      </c>
      <c r="E4194" s="2757">
        <v>72575038.820973307</v>
      </c>
      <c r="F4194" s="2758">
        <v>100</v>
      </c>
      <c r="G4194" s="2759">
        <v>0</v>
      </c>
    </row>
    <row r="4195" spans="1:7" x14ac:dyDescent="0.25">
      <c r="A4195" s="6" t="s">
        <v>6293</v>
      </c>
      <c r="B4195" s="6" t="s">
        <v>6294</v>
      </c>
      <c r="C4195" s="2752">
        <v>0</v>
      </c>
      <c r="D4195" s="2752">
        <v>0</v>
      </c>
      <c r="E4195" s="2753">
        <v>0</v>
      </c>
      <c r="F4195" s="2754">
        <v>0</v>
      </c>
      <c r="G4195" s="2755">
        <v>0</v>
      </c>
    </row>
    <row r="4196" spans="1:7" x14ac:dyDescent="0.25">
      <c r="A4196" s="11" t="s">
        <v>6293</v>
      </c>
      <c r="B4196" s="11" t="s">
        <v>6295</v>
      </c>
      <c r="C4196" s="2756">
        <v>19777</v>
      </c>
      <c r="D4196" s="2756">
        <v>5463614693.3948002</v>
      </c>
      <c r="E4196" s="2757">
        <v>0</v>
      </c>
      <c r="F4196" s="2758">
        <v>100</v>
      </c>
      <c r="G4196" s="2759">
        <v>0</v>
      </c>
    </row>
    <row r="4197" spans="1:7" x14ac:dyDescent="0.25">
      <c r="A4197" s="3353" t="s">
        <v>667</v>
      </c>
      <c r="B4197" s="3354"/>
      <c r="C4197" s="3354"/>
      <c r="D4197" s="3354"/>
      <c r="E4197" s="3354"/>
      <c r="F4197" s="3354"/>
      <c r="G4197" s="3354"/>
    </row>
    <row r="4198" spans="1:7" x14ac:dyDescent="0.25">
      <c r="A4198" s="11" t="s">
        <v>1019</v>
      </c>
      <c r="B4198" s="11" t="s">
        <v>6083</v>
      </c>
      <c r="C4198" s="2764">
        <v>4</v>
      </c>
      <c r="D4198" s="2764">
        <v>4203423.25164185</v>
      </c>
      <c r="E4198" s="2765">
        <v>2810729.21866591</v>
      </c>
      <c r="F4198" s="2766">
        <v>100</v>
      </c>
      <c r="G4198" s="2767">
        <v>0</v>
      </c>
    </row>
    <row r="4199" spans="1:7" x14ac:dyDescent="0.25">
      <c r="A4199" s="6" t="s">
        <v>982</v>
      </c>
      <c r="B4199" s="6" t="s">
        <v>983</v>
      </c>
      <c r="C4199" s="2760">
        <v>19773</v>
      </c>
      <c r="D4199" s="2760">
        <v>5459411270.1431599</v>
      </c>
      <c r="E4199" s="2761">
        <v>73045231.138473094</v>
      </c>
      <c r="F4199" s="2762">
        <v>100</v>
      </c>
      <c r="G4199" s="2763">
        <v>0</v>
      </c>
    </row>
    <row r="4200" spans="1:7" x14ac:dyDescent="0.25">
      <c r="A4200" s="11" t="s">
        <v>6293</v>
      </c>
      <c r="B4200" s="11" t="s">
        <v>6294</v>
      </c>
      <c r="C4200" s="2764">
        <v>4</v>
      </c>
      <c r="D4200" s="2764">
        <v>4203423.25164185</v>
      </c>
      <c r="E4200" s="2765">
        <v>2810729.21866591</v>
      </c>
      <c r="F4200" s="2766">
        <v>7.6934840531920096E-2</v>
      </c>
      <c r="G4200" s="2767">
        <v>5.1573613417366798E-2</v>
      </c>
    </row>
    <row r="4201" spans="1:7" x14ac:dyDescent="0.25">
      <c r="A4201" s="6" t="s">
        <v>6293</v>
      </c>
      <c r="B4201" s="6" t="s">
        <v>6295</v>
      </c>
      <c r="C4201" s="2760">
        <v>19777</v>
      </c>
      <c r="D4201" s="2760">
        <v>5463614693.3948002</v>
      </c>
      <c r="E4201" s="2761">
        <v>0</v>
      </c>
      <c r="F4201" s="2762">
        <v>100</v>
      </c>
      <c r="G4201" s="2763">
        <v>0</v>
      </c>
    </row>
    <row r="4202" spans="1:7" x14ac:dyDescent="0.25">
      <c r="A4202" s="3353" t="s">
        <v>669</v>
      </c>
      <c r="B4202" s="3354"/>
      <c r="C4202" s="3354"/>
      <c r="D4202" s="3354"/>
      <c r="E4202" s="3354"/>
      <c r="F4202" s="3354"/>
      <c r="G4202" s="3354"/>
    </row>
    <row r="4203" spans="1:7" x14ac:dyDescent="0.25">
      <c r="A4203" s="11" t="s">
        <v>982</v>
      </c>
      <c r="B4203" s="11" t="s">
        <v>983</v>
      </c>
      <c r="C4203" s="2772">
        <v>19777</v>
      </c>
      <c r="D4203" s="2772">
        <v>5463614693.3948002</v>
      </c>
      <c r="E4203" s="2773">
        <v>72575038.820973307</v>
      </c>
      <c r="F4203" s="2774">
        <v>100</v>
      </c>
      <c r="G4203" s="2775">
        <v>0</v>
      </c>
    </row>
    <row r="4204" spans="1:7" x14ac:dyDescent="0.25">
      <c r="A4204" s="6" t="s">
        <v>6293</v>
      </c>
      <c r="B4204" s="6" t="s">
        <v>6294</v>
      </c>
      <c r="C4204" s="2768">
        <v>0</v>
      </c>
      <c r="D4204" s="2768">
        <v>0</v>
      </c>
      <c r="E4204" s="2769">
        <v>0</v>
      </c>
      <c r="F4204" s="2770">
        <v>0</v>
      </c>
      <c r="G4204" s="2771">
        <v>0</v>
      </c>
    </row>
    <row r="4205" spans="1:7" x14ac:dyDescent="0.25">
      <c r="A4205" s="11" t="s">
        <v>6293</v>
      </c>
      <c r="B4205" s="11" t="s">
        <v>6295</v>
      </c>
      <c r="C4205" s="2772">
        <v>19777</v>
      </c>
      <c r="D4205" s="2772">
        <v>5463614693.3948002</v>
      </c>
      <c r="E4205" s="2773">
        <v>0</v>
      </c>
      <c r="F4205" s="2774">
        <v>100</v>
      </c>
      <c r="G4205" s="2775">
        <v>0</v>
      </c>
    </row>
    <row r="4206" spans="1:7" x14ac:dyDescent="0.25">
      <c r="A4206" s="3353" t="s">
        <v>671</v>
      </c>
      <c r="B4206" s="3354"/>
      <c r="C4206" s="3354"/>
      <c r="D4206" s="3354"/>
      <c r="E4206" s="3354"/>
      <c r="F4206" s="3354"/>
      <c r="G4206" s="3354"/>
    </row>
    <row r="4207" spans="1:7" x14ac:dyDescent="0.25">
      <c r="A4207" s="11" t="s">
        <v>1023</v>
      </c>
      <c r="B4207" s="11" t="s">
        <v>6084</v>
      </c>
      <c r="C4207" s="2780">
        <v>1</v>
      </c>
      <c r="D4207" s="2780">
        <v>97800.423054298502</v>
      </c>
      <c r="E4207" s="2781">
        <v>98879.471488273193</v>
      </c>
      <c r="F4207" s="2782">
        <v>100</v>
      </c>
      <c r="G4207" s="2783" t="e">
        <v>#NUM!</v>
      </c>
    </row>
    <row r="4208" spans="1:7" x14ac:dyDescent="0.25">
      <c r="A4208" s="6" t="s">
        <v>982</v>
      </c>
      <c r="B4208" s="6" t="s">
        <v>983</v>
      </c>
      <c r="C4208" s="2776">
        <v>19776</v>
      </c>
      <c r="D4208" s="2776">
        <v>5463516892.9717398</v>
      </c>
      <c r="E4208" s="2777">
        <v>72611987.5919936</v>
      </c>
      <c r="F4208" s="2778">
        <v>100</v>
      </c>
      <c r="G4208" s="2779">
        <v>0</v>
      </c>
    </row>
    <row r="4209" spans="1:7" x14ac:dyDescent="0.25">
      <c r="A4209" s="11" t="s">
        <v>6293</v>
      </c>
      <c r="B4209" s="11" t="s">
        <v>6294</v>
      </c>
      <c r="C4209" s="2780">
        <v>1</v>
      </c>
      <c r="D4209" s="2780">
        <v>97800.423054298502</v>
      </c>
      <c r="E4209" s="2781">
        <v>98879.471488273193</v>
      </c>
      <c r="F4209" s="2782">
        <v>1.7900314817685401E-3</v>
      </c>
      <c r="G4209" s="2783">
        <v>1.81040222063428E-3</v>
      </c>
    </row>
    <row r="4210" spans="1:7" x14ac:dyDescent="0.25">
      <c r="A4210" s="6" t="s">
        <v>6293</v>
      </c>
      <c r="B4210" s="6" t="s">
        <v>6295</v>
      </c>
      <c r="C4210" s="2776">
        <v>19777</v>
      </c>
      <c r="D4210" s="2776">
        <v>5463614693.3948002</v>
      </c>
      <c r="E4210" s="2777">
        <v>0</v>
      </c>
      <c r="F4210" s="2778">
        <v>100</v>
      </c>
      <c r="G4210" s="2779">
        <v>0</v>
      </c>
    </row>
    <row r="4211" spans="1:7" x14ac:dyDescent="0.25">
      <c r="A4211" s="3353" t="s">
        <v>673</v>
      </c>
      <c r="B4211" s="3354"/>
      <c r="C4211" s="3354"/>
      <c r="D4211" s="3354"/>
      <c r="E4211" s="3354"/>
      <c r="F4211" s="3354"/>
      <c r="G4211" s="3354"/>
    </row>
    <row r="4212" spans="1:7" x14ac:dyDescent="0.25">
      <c r="A4212" s="11" t="s">
        <v>982</v>
      </c>
      <c r="B4212" s="11" t="s">
        <v>983</v>
      </c>
      <c r="C4212" s="2788">
        <v>19777</v>
      </c>
      <c r="D4212" s="2788">
        <v>5463614693.3948002</v>
      </c>
      <c r="E4212" s="2789">
        <v>72575038.820973307</v>
      </c>
      <c r="F4212" s="2790">
        <v>100</v>
      </c>
      <c r="G4212" s="2791">
        <v>0</v>
      </c>
    </row>
    <row r="4213" spans="1:7" x14ac:dyDescent="0.25">
      <c r="A4213" s="6" t="s">
        <v>6293</v>
      </c>
      <c r="B4213" s="6" t="s">
        <v>6294</v>
      </c>
      <c r="C4213" s="2784">
        <v>0</v>
      </c>
      <c r="D4213" s="2784">
        <v>0</v>
      </c>
      <c r="E4213" s="2785">
        <v>0</v>
      </c>
      <c r="F4213" s="2786">
        <v>0</v>
      </c>
      <c r="G4213" s="2787">
        <v>0</v>
      </c>
    </row>
    <row r="4214" spans="1:7" x14ac:dyDescent="0.25">
      <c r="A4214" s="11" t="s">
        <v>6293</v>
      </c>
      <c r="B4214" s="11" t="s">
        <v>6295</v>
      </c>
      <c r="C4214" s="2788">
        <v>19777</v>
      </c>
      <c r="D4214" s="2788">
        <v>5463614693.3948002</v>
      </c>
      <c r="E4214" s="2789">
        <v>0</v>
      </c>
      <c r="F4214" s="2790">
        <v>100</v>
      </c>
      <c r="G4214" s="2791">
        <v>0</v>
      </c>
    </row>
    <row r="4215" spans="1:7" x14ac:dyDescent="0.25">
      <c r="A4215" s="3353" t="s">
        <v>675</v>
      </c>
      <c r="B4215" s="3354"/>
      <c r="C4215" s="3354"/>
      <c r="D4215" s="3354"/>
      <c r="E4215" s="3354"/>
      <c r="F4215" s="3354"/>
      <c r="G4215" s="3354"/>
    </row>
    <row r="4216" spans="1:7" x14ac:dyDescent="0.25">
      <c r="A4216" s="11" t="s">
        <v>982</v>
      </c>
      <c r="B4216" s="11" t="s">
        <v>983</v>
      </c>
      <c r="C4216" s="2796">
        <v>19777</v>
      </c>
      <c r="D4216" s="2796">
        <v>5463614693.3948002</v>
      </c>
      <c r="E4216" s="2797">
        <v>72575038.820973307</v>
      </c>
      <c r="F4216" s="2798">
        <v>100</v>
      </c>
      <c r="G4216" s="2799">
        <v>0</v>
      </c>
    </row>
    <row r="4217" spans="1:7" x14ac:dyDescent="0.25">
      <c r="A4217" s="6" t="s">
        <v>6293</v>
      </c>
      <c r="B4217" s="6" t="s">
        <v>6294</v>
      </c>
      <c r="C4217" s="2792">
        <v>0</v>
      </c>
      <c r="D4217" s="2792">
        <v>0</v>
      </c>
      <c r="E4217" s="2793">
        <v>0</v>
      </c>
      <c r="F4217" s="2794">
        <v>0</v>
      </c>
      <c r="G4217" s="2795">
        <v>0</v>
      </c>
    </row>
    <row r="4218" spans="1:7" x14ac:dyDescent="0.25">
      <c r="A4218" s="11" t="s">
        <v>6293</v>
      </c>
      <c r="B4218" s="11" t="s">
        <v>6295</v>
      </c>
      <c r="C4218" s="2796">
        <v>19777</v>
      </c>
      <c r="D4218" s="2796">
        <v>5463614693.3948002</v>
      </c>
      <c r="E4218" s="2797">
        <v>0</v>
      </c>
      <c r="F4218" s="2798">
        <v>100</v>
      </c>
      <c r="G4218" s="2799">
        <v>0</v>
      </c>
    </row>
    <row r="4219" spans="1:7" x14ac:dyDescent="0.25">
      <c r="A4219" s="3353" t="s">
        <v>677</v>
      </c>
      <c r="B4219" s="3354"/>
      <c r="C4219" s="3354"/>
      <c r="D4219" s="3354"/>
      <c r="E4219" s="3354"/>
      <c r="F4219" s="3354"/>
      <c r="G4219" s="3354"/>
    </row>
    <row r="4220" spans="1:7" x14ac:dyDescent="0.25">
      <c r="A4220" s="11" t="s">
        <v>1029</v>
      </c>
      <c r="B4220" s="11" t="s">
        <v>6085</v>
      </c>
      <c r="C4220" s="2804">
        <v>3</v>
      </c>
      <c r="D4220" s="2804">
        <v>496237.18639952497</v>
      </c>
      <c r="E4220" s="2805">
        <v>490980.87170093402</v>
      </c>
      <c r="F4220" s="2806">
        <v>100</v>
      </c>
      <c r="G4220" s="2807">
        <v>0</v>
      </c>
    </row>
    <row r="4221" spans="1:7" x14ac:dyDescent="0.25">
      <c r="A4221" s="6" t="s">
        <v>982</v>
      </c>
      <c r="B4221" s="6" t="s">
        <v>983</v>
      </c>
      <c r="C4221" s="2800">
        <v>19774</v>
      </c>
      <c r="D4221" s="2800">
        <v>5463118456.2083998</v>
      </c>
      <c r="E4221" s="2801">
        <v>72786075.0183644</v>
      </c>
      <c r="F4221" s="2802">
        <v>100</v>
      </c>
      <c r="G4221" s="2803">
        <v>0</v>
      </c>
    </row>
    <row r="4222" spans="1:7" x14ac:dyDescent="0.25">
      <c r="A4222" s="11" t="s">
        <v>6293</v>
      </c>
      <c r="B4222" s="11" t="s">
        <v>6294</v>
      </c>
      <c r="C4222" s="2804">
        <v>3</v>
      </c>
      <c r="D4222" s="2804">
        <v>496237.18639952497</v>
      </c>
      <c r="E4222" s="2805">
        <v>490980.87170093402</v>
      </c>
      <c r="F4222" s="2806">
        <v>9.0825802009692896E-3</v>
      </c>
      <c r="G4222" s="2807">
        <v>8.9998808326459401E-3</v>
      </c>
    </row>
    <row r="4223" spans="1:7" x14ac:dyDescent="0.25">
      <c r="A4223" s="6" t="s">
        <v>6293</v>
      </c>
      <c r="B4223" s="6" t="s">
        <v>6295</v>
      </c>
      <c r="C4223" s="2800">
        <v>19777</v>
      </c>
      <c r="D4223" s="2800">
        <v>5463614693.3948002</v>
      </c>
      <c r="E4223" s="2801">
        <v>0</v>
      </c>
      <c r="F4223" s="2802">
        <v>100</v>
      </c>
      <c r="G4223" s="2803">
        <v>0</v>
      </c>
    </row>
    <row r="4224" spans="1:7" x14ac:dyDescent="0.25">
      <c r="A4224" s="3353" t="s">
        <v>679</v>
      </c>
      <c r="B4224" s="3354"/>
      <c r="C4224" s="3354"/>
      <c r="D4224" s="3354"/>
      <c r="E4224" s="3354"/>
      <c r="F4224" s="3354"/>
      <c r="G4224" s="3354"/>
    </row>
    <row r="4225" spans="1:7" x14ac:dyDescent="0.25">
      <c r="A4225" s="11" t="s">
        <v>1031</v>
      </c>
      <c r="B4225" s="11" t="s">
        <v>6086</v>
      </c>
      <c r="C4225" s="2812">
        <v>5</v>
      </c>
      <c r="D4225" s="2812">
        <v>3344062.20201171</v>
      </c>
      <c r="E4225" s="2813">
        <v>2536431.7691235002</v>
      </c>
      <c r="F4225" s="2814">
        <v>100</v>
      </c>
      <c r="G4225" s="2815">
        <v>0</v>
      </c>
    </row>
    <row r="4226" spans="1:7" x14ac:dyDescent="0.25">
      <c r="A4226" s="6" t="s">
        <v>982</v>
      </c>
      <c r="B4226" s="6" t="s">
        <v>983</v>
      </c>
      <c r="C4226" s="2808">
        <v>19772</v>
      </c>
      <c r="D4226" s="2808">
        <v>5460270631.19279</v>
      </c>
      <c r="E4226" s="2809">
        <v>72864361.2294655</v>
      </c>
      <c r="F4226" s="2810">
        <v>100</v>
      </c>
      <c r="G4226" s="2811">
        <v>0</v>
      </c>
    </row>
    <row r="4227" spans="1:7" x14ac:dyDescent="0.25">
      <c r="A4227" s="11" t="s">
        <v>6293</v>
      </c>
      <c r="B4227" s="11" t="s">
        <v>6294</v>
      </c>
      <c r="C4227" s="2812">
        <v>5</v>
      </c>
      <c r="D4227" s="2812">
        <v>3344062.20201171</v>
      </c>
      <c r="E4227" s="2813">
        <v>2536431.7691235002</v>
      </c>
      <c r="F4227" s="2814">
        <v>6.1206040134098201E-2</v>
      </c>
      <c r="G4227" s="2815">
        <v>4.6490583553696903E-2</v>
      </c>
    </row>
    <row r="4228" spans="1:7" x14ac:dyDescent="0.25">
      <c r="A4228" s="6" t="s">
        <v>6293</v>
      </c>
      <c r="B4228" s="6" t="s">
        <v>6295</v>
      </c>
      <c r="C4228" s="2808">
        <v>19777</v>
      </c>
      <c r="D4228" s="2808">
        <v>5463614693.3948002</v>
      </c>
      <c r="E4228" s="2809">
        <v>0</v>
      </c>
      <c r="F4228" s="2810">
        <v>100</v>
      </c>
      <c r="G4228" s="2811">
        <v>0</v>
      </c>
    </row>
    <row r="4229" spans="1:7" x14ac:dyDescent="0.25">
      <c r="A4229" s="3353" t="s">
        <v>681</v>
      </c>
      <c r="B4229" s="3354"/>
      <c r="C4229" s="3354"/>
      <c r="D4229" s="3354"/>
      <c r="E4229" s="3354"/>
      <c r="F4229" s="3354"/>
      <c r="G4229" s="3354"/>
    </row>
    <row r="4230" spans="1:7" x14ac:dyDescent="0.25">
      <c r="A4230" s="11" t="s">
        <v>982</v>
      </c>
      <c r="B4230" s="11" t="s">
        <v>983</v>
      </c>
      <c r="C4230" s="2820">
        <v>19777</v>
      </c>
      <c r="D4230" s="2820">
        <v>5463614693.3948002</v>
      </c>
      <c r="E4230" s="2821">
        <v>72575038.820973307</v>
      </c>
      <c r="F4230" s="2822">
        <v>100</v>
      </c>
      <c r="G4230" s="2823">
        <v>0</v>
      </c>
    </row>
    <row r="4231" spans="1:7" x14ac:dyDescent="0.25">
      <c r="A4231" s="6" t="s">
        <v>6293</v>
      </c>
      <c r="B4231" s="6" t="s">
        <v>6294</v>
      </c>
      <c r="C4231" s="2816">
        <v>0</v>
      </c>
      <c r="D4231" s="2816">
        <v>0</v>
      </c>
      <c r="E4231" s="2817">
        <v>0</v>
      </c>
      <c r="F4231" s="2818">
        <v>0</v>
      </c>
      <c r="G4231" s="2819">
        <v>0</v>
      </c>
    </row>
    <row r="4232" spans="1:7" x14ac:dyDescent="0.25">
      <c r="A4232" s="11" t="s">
        <v>6293</v>
      </c>
      <c r="B4232" s="11" t="s">
        <v>6295</v>
      </c>
      <c r="C4232" s="2820">
        <v>19777</v>
      </c>
      <c r="D4232" s="2820">
        <v>5463614693.3948002</v>
      </c>
      <c r="E4232" s="2821">
        <v>0</v>
      </c>
      <c r="F4232" s="2822">
        <v>100</v>
      </c>
      <c r="G4232" s="2823">
        <v>0</v>
      </c>
    </row>
    <row r="4233" spans="1:7" x14ac:dyDescent="0.25">
      <c r="A4233" s="3353" t="s">
        <v>683</v>
      </c>
      <c r="B4233" s="3354"/>
      <c r="C4233" s="3354"/>
      <c r="D4233" s="3354"/>
      <c r="E4233" s="3354"/>
      <c r="F4233" s="3354"/>
      <c r="G4233" s="3354"/>
    </row>
    <row r="4234" spans="1:7" x14ac:dyDescent="0.25">
      <c r="A4234" s="11" t="s">
        <v>1035</v>
      </c>
      <c r="B4234" s="11" t="s">
        <v>6087</v>
      </c>
      <c r="C4234" s="2828">
        <v>5</v>
      </c>
      <c r="D4234" s="2828">
        <v>131518.525666006</v>
      </c>
      <c r="E4234" s="2829">
        <v>98744.819793151197</v>
      </c>
      <c r="F4234" s="2830">
        <v>100</v>
      </c>
      <c r="G4234" s="2831">
        <v>0</v>
      </c>
    </row>
    <row r="4235" spans="1:7" x14ac:dyDescent="0.25">
      <c r="A4235" s="6" t="s">
        <v>982</v>
      </c>
      <c r="B4235" s="6" t="s">
        <v>983</v>
      </c>
      <c r="C4235" s="2824">
        <v>19772</v>
      </c>
      <c r="D4235" s="2824">
        <v>5463483174.8691301</v>
      </c>
      <c r="E4235" s="2825">
        <v>72618083.766358003</v>
      </c>
      <c r="F4235" s="2826">
        <v>100</v>
      </c>
      <c r="G4235" s="2827">
        <v>0</v>
      </c>
    </row>
    <row r="4236" spans="1:7" x14ac:dyDescent="0.25">
      <c r="A4236" s="11" t="s">
        <v>6293</v>
      </c>
      <c r="B4236" s="11" t="s">
        <v>6294</v>
      </c>
      <c r="C4236" s="2828">
        <v>5</v>
      </c>
      <c r="D4236" s="2828">
        <v>131518.525666006</v>
      </c>
      <c r="E4236" s="2829">
        <v>98744.819793151197</v>
      </c>
      <c r="F4236" s="2830">
        <v>2.4071705829659799E-3</v>
      </c>
      <c r="G4236" s="2831">
        <v>1.81409058113307E-3</v>
      </c>
    </row>
    <row r="4237" spans="1:7" x14ac:dyDescent="0.25">
      <c r="A4237" s="6" t="s">
        <v>6293</v>
      </c>
      <c r="B4237" s="6" t="s">
        <v>6295</v>
      </c>
      <c r="C4237" s="2824">
        <v>19777</v>
      </c>
      <c r="D4237" s="2824">
        <v>5463614693.3948002</v>
      </c>
      <c r="E4237" s="2825">
        <v>0</v>
      </c>
      <c r="F4237" s="2826">
        <v>100</v>
      </c>
      <c r="G4237" s="2827">
        <v>0</v>
      </c>
    </row>
    <row r="4238" spans="1:7" x14ac:dyDescent="0.25">
      <c r="A4238" s="3353" t="s">
        <v>687</v>
      </c>
      <c r="B4238" s="3354"/>
      <c r="C4238" s="3354"/>
      <c r="D4238" s="3354"/>
      <c r="E4238" s="3354"/>
      <c r="F4238" s="3354"/>
      <c r="G4238" s="3354"/>
    </row>
    <row r="4239" spans="1:7" x14ac:dyDescent="0.25">
      <c r="A4239" s="11" t="s">
        <v>982</v>
      </c>
      <c r="B4239" s="11" t="s">
        <v>983</v>
      </c>
      <c r="C4239" s="2836">
        <v>19777</v>
      </c>
      <c r="D4239" s="2836">
        <v>5463614693.3948002</v>
      </c>
      <c r="E4239" s="2837">
        <v>72575038.820973307</v>
      </c>
      <c r="F4239" s="2838">
        <v>100</v>
      </c>
      <c r="G4239" s="2839">
        <v>0</v>
      </c>
    </row>
    <row r="4240" spans="1:7" x14ac:dyDescent="0.25">
      <c r="A4240" s="6" t="s">
        <v>6293</v>
      </c>
      <c r="B4240" s="6" t="s">
        <v>6294</v>
      </c>
      <c r="C4240" s="2832">
        <v>0</v>
      </c>
      <c r="D4240" s="2832">
        <v>0</v>
      </c>
      <c r="E4240" s="2833">
        <v>0</v>
      </c>
      <c r="F4240" s="2834">
        <v>0</v>
      </c>
      <c r="G4240" s="2835">
        <v>0</v>
      </c>
    </row>
    <row r="4241" spans="1:7" x14ac:dyDescent="0.25">
      <c r="A4241" s="11" t="s">
        <v>6293</v>
      </c>
      <c r="B4241" s="11" t="s">
        <v>6295</v>
      </c>
      <c r="C4241" s="2836">
        <v>19777</v>
      </c>
      <c r="D4241" s="2836">
        <v>5463614693.3948002</v>
      </c>
      <c r="E4241" s="2837">
        <v>0</v>
      </c>
      <c r="F4241" s="2838">
        <v>100</v>
      </c>
      <c r="G4241" s="2839">
        <v>0</v>
      </c>
    </row>
    <row r="4242" spans="1:7" x14ac:dyDescent="0.25">
      <c r="A4242" s="3353" t="s">
        <v>705</v>
      </c>
      <c r="B4242" s="3354"/>
      <c r="C4242" s="3354"/>
      <c r="D4242" s="3354"/>
      <c r="E4242" s="3354"/>
      <c r="F4242" s="3354"/>
      <c r="G4242" s="3354"/>
    </row>
    <row r="4243" spans="1:7" x14ac:dyDescent="0.25">
      <c r="A4243" s="11" t="s">
        <v>1005</v>
      </c>
      <c r="B4243" s="11" t="s">
        <v>6088</v>
      </c>
      <c r="C4243" s="2844">
        <v>4</v>
      </c>
      <c r="D4243" s="2844">
        <v>903684.77818772395</v>
      </c>
      <c r="E4243" s="2845">
        <v>793056.88929284201</v>
      </c>
      <c r="F4243" s="2846">
        <v>100</v>
      </c>
      <c r="G4243" s="2847">
        <v>0</v>
      </c>
    </row>
    <row r="4244" spans="1:7" x14ac:dyDescent="0.25">
      <c r="A4244" s="6" t="s">
        <v>982</v>
      </c>
      <c r="B4244" s="6" t="s">
        <v>983</v>
      </c>
      <c r="C4244" s="2840">
        <v>19773</v>
      </c>
      <c r="D4244" s="2840">
        <v>5462711008.6166096</v>
      </c>
      <c r="E4244" s="2841">
        <v>72550663.228299096</v>
      </c>
      <c r="F4244" s="2842">
        <v>100</v>
      </c>
      <c r="G4244" s="2843">
        <v>0</v>
      </c>
    </row>
    <row r="4245" spans="1:7" x14ac:dyDescent="0.25">
      <c r="A4245" s="11" t="s">
        <v>6293</v>
      </c>
      <c r="B4245" s="11" t="s">
        <v>6294</v>
      </c>
      <c r="C4245" s="2844">
        <v>4</v>
      </c>
      <c r="D4245" s="2844">
        <v>903684.77818772395</v>
      </c>
      <c r="E4245" s="2845">
        <v>793056.88929284201</v>
      </c>
      <c r="F4245" s="2846">
        <v>1.6540053223010501E-2</v>
      </c>
      <c r="G4245" s="2847">
        <v>1.4495797802426399E-2</v>
      </c>
    </row>
    <row r="4246" spans="1:7" x14ac:dyDescent="0.25">
      <c r="A4246" s="6" t="s">
        <v>6293</v>
      </c>
      <c r="B4246" s="6" t="s">
        <v>6295</v>
      </c>
      <c r="C4246" s="2840">
        <v>19777</v>
      </c>
      <c r="D4246" s="2840">
        <v>5463614693.3948002</v>
      </c>
      <c r="E4246" s="2841">
        <v>0</v>
      </c>
      <c r="F4246" s="2842">
        <v>100</v>
      </c>
      <c r="G4246" s="2843">
        <v>0</v>
      </c>
    </row>
    <row r="4247" spans="1:7" x14ac:dyDescent="0.25">
      <c r="A4247" s="3353" t="s">
        <v>703</v>
      </c>
      <c r="B4247" s="3354"/>
      <c r="C4247" s="3354"/>
      <c r="D4247" s="3354"/>
      <c r="E4247" s="3354"/>
      <c r="F4247" s="3354"/>
      <c r="G4247" s="3354"/>
    </row>
    <row r="4248" spans="1:7" x14ac:dyDescent="0.25">
      <c r="A4248" s="11" t="s">
        <v>982</v>
      </c>
      <c r="B4248" s="11" t="s">
        <v>983</v>
      </c>
      <c r="C4248" s="2852">
        <v>19777</v>
      </c>
      <c r="D4248" s="2852">
        <v>5463614693.3948002</v>
      </c>
      <c r="E4248" s="2853">
        <v>72575038.820973307</v>
      </c>
      <c r="F4248" s="2854">
        <v>100</v>
      </c>
      <c r="G4248" s="2855">
        <v>0</v>
      </c>
    </row>
    <row r="4249" spans="1:7" x14ac:dyDescent="0.25">
      <c r="A4249" s="6" t="s">
        <v>6293</v>
      </c>
      <c r="B4249" s="6" t="s">
        <v>6294</v>
      </c>
      <c r="C4249" s="2848">
        <v>0</v>
      </c>
      <c r="D4249" s="2848">
        <v>0</v>
      </c>
      <c r="E4249" s="2849">
        <v>0</v>
      </c>
      <c r="F4249" s="2850">
        <v>0</v>
      </c>
      <c r="G4249" s="2851">
        <v>0</v>
      </c>
    </row>
    <row r="4250" spans="1:7" x14ac:dyDescent="0.25">
      <c r="A4250" s="11" t="s">
        <v>6293</v>
      </c>
      <c r="B4250" s="11" t="s">
        <v>6295</v>
      </c>
      <c r="C4250" s="2852">
        <v>19777</v>
      </c>
      <c r="D4250" s="2852">
        <v>5463614693.3948002</v>
      </c>
      <c r="E4250" s="2853">
        <v>0</v>
      </c>
      <c r="F4250" s="2854">
        <v>100</v>
      </c>
      <c r="G4250" s="2855">
        <v>0</v>
      </c>
    </row>
    <row r="4251" spans="1:7" x14ac:dyDescent="0.25">
      <c r="A4251" s="3353" t="s">
        <v>707</v>
      </c>
      <c r="B4251" s="3354"/>
      <c r="C4251" s="3354"/>
      <c r="D4251" s="3354"/>
      <c r="E4251" s="3354"/>
      <c r="F4251" s="3354"/>
      <c r="G4251" s="3354"/>
    </row>
    <row r="4252" spans="1:7" x14ac:dyDescent="0.25">
      <c r="A4252" s="11" t="s">
        <v>982</v>
      </c>
      <c r="B4252" s="11" t="s">
        <v>983</v>
      </c>
      <c r="C4252" s="2860">
        <v>19777</v>
      </c>
      <c r="D4252" s="2860">
        <v>5463614693.3948002</v>
      </c>
      <c r="E4252" s="2861">
        <v>72575038.820973307</v>
      </c>
      <c r="F4252" s="2862">
        <v>100</v>
      </c>
      <c r="G4252" s="2863">
        <v>0</v>
      </c>
    </row>
    <row r="4253" spans="1:7" x14ac:dyDescent="0.25">
      <c r="A4253" s="6" t="s">
        <v>6293</v>
      </c>
      <c r="B4253" s="6" t="s">
        <v>6294</v>
      </c>
      <c r="C4253" s="2856">
        <v>0</v>
      </c>
      <c r="D4253" s="2856">
        <v>0</v>
      </c>
      <c r="E4253" s="2857">
        <v>0</v>
      </c>
      <c r="F4253" s="2858">
        <v>0</v>
      </c>
      <c r="G4253" s="2859">
        <v>0</v>
      </c>
    </row>
    <row r="4254" spans="1:7" x14ac:dyDescent="0.25">
      <c r="A4254" s="11" t="s">
        <v>6293</v>
      </c>
      <c r="B4254" s="11" t="s">
        <v>6295</v>
      </c>
      <c r="C4254" s="2860">
        <v>19777</v>
      </c>
      <c r="D4254" s="2860">
        <v>5463614693.3948002</v>
      </c>
      <c r="E4254" s="2861">
        <v>0</v>
      </c>
      <c r="F4254" s="2862">
        <v>100</v>
      </c>
      <c r="G4254" s="2863">
        <v>0</v>
      </c>
    </row>
    <row r="4255" spans="1:7" x14ac:dyDescent="0.25">
      <c r="A4255" s="3353" t="s">
        <v>278</v>
      </c>
      <c r="B4255" s="3354"/>
      <c r="C4255" s="3354"/>
      <c r="D4255" s="3354"/>
      <c r="E4255" s="3354"/>
      <c r="F4255" s="3354"/>
      <c r="G4255" s="3354"/>
    </row>
    <row r="4256" spans="1:7" x14ac:dyDescent="0.25">
      <c r="A4256" s="11" t="s">
        <v>6730</v>
      </c>
      <c r="B4256" s="11"/>
      <c r="C4256" s="2868">
        <v>4</v>
      </c>
      <c r="D4256" s="2868">
        <v>903684.77818772395</v>
      </c>
      <c r="E4256" s="2869">
        <v>793056.88929284201</v>
      </c>
      <c r="F4256" s="2870">
        <v>100</v>
      </c>
      <c r="G4256" s="2871">
        <v>0</v>
      </c>
    </row>
    <row r="4257" spans="1:7" x14ac:dyDescent="0.25">
      <c r="A4257" s="6" t="s">
        <v>982</v>
      </c>
      <c r="B4257" s="6" t="s">
        <v>983</v>
      </c>
      <c r="C4257" s="2864">
        <v>19775</v>
      </c>
      <c r="D4257" s="2864">
        <v>5462711008.6166096</v>
      </c>
      <c r="E4257" s="2865">
        <v>72550663.228299096</v>
      </c>
      <c r="F4257" s="2866">
        <v>100</v>
      </c>
      <c r="G4257" s="2867">
        <v>0</v>
      </c>
    </row>
    <row r="4258" spans="1:7" x14ac:dyDescent="0.25">
      <c r="A4258" s="11" t="s">
        <v>6293</v>
      </c>
      <c r="B4258" s="11" t="s">
        <v>6294</v>
      </c>
      <c r="C4258" s="2868">
        <v>4</v>
      </c>
      <c r="D4258" s="2868">
        <v>903684.77818772395</v>
      </c>
      <c r="E4258" s="2869">
        <v>793056.88929284201</v>
      </c>
      <c r="F4258" s="2870">
        <v>1.6540053223010501E-2</v>
      </c>
      <c r="G4258" s="2871">
        <v>1.4495797802426399E-2</v>
      </c>
    </row>
    <row r="4259" spans="1:7" x14ac:dyDescent="0.25">
      <c r="A4259" s="6" t="s">
        <v>6293</v>
      </c>
      <c r="B4259" s="6" t="s">
        <v>6295</v>
      </c>
      <c r="C4259" s="2864">
        <v>19779</v>
      </c>
      <c r="D4259" s="2864">
        <v>5463614693.3948002</v>
      </c>
      <c r="E4259" s="2865">
        <v>0</v>
      </c>
      <c r="F4259" s="2866">
        <v>100</v>
      </c>
      <c r="G4259" s="2867">
        <v>0</v>
      </c>
    </row>
    <row r="4260" spans="1:7" x14ac:dyDescent="0.25">
      <c r="A4260" s="3353" t="s">
        <v>719</v>
      </c>
      <c r="B4260" s="3354"/>
      <c r="C4260" s="3354"/>
      <c r="D4260" s="3354"/>
      <c r="E4260" s="3354"/>
      <c r="F4260" s="3354"/>
      <c r="G4260" s="3354"/>
    </row>
    <row r="4261" spans="1:7" x14ac:dyDescent="0.25">
      <c r="A4261" s="11" t="s">
        <v>984</v>
      </c>
      <c r="B4261" s="11" t="s">
        <v>853</v>
      </c>
      <c r="C4261" s="2876">
        <v>106</v>
      </c>
      <c r="D4261" s="2876">
        <v>87205615.545047596</v>
      </c>
      <c r="E4261" s="2877">
        <v>22918434.8045942</v>
      </c>
      <c r="F4261" s="2878">
        <v>100</v>
      </c>
      <c r="G4261" s="2879">
        <v>0</v>
      </c>
    </row>
    <row r="4262" spans="1:7" x14ac:dyDescent="0.25">
      <c r="A4262" s="6" t="s">
        <v>982</v>
      </c>
      <c r="B4262" s="6" t="s">
        <v>983</v>
      </c>
      <c r="C4262" s="2872">
        <v>19670</v>
      </c>
      <c r="D4262" s="2872">
        <v>5375519598.3409796</v>
      </c>
      <c r="E4262" s="2873">
        <v>79487757.252674595</v>
      </c>
      <c r="F4262" s="2874">
        <v>99.983455881130098</v>
      </c>
      <c r="G4262" s="2875">
        <v>1.7026483535469501E-2</v>
      </c>
    </row>
    <row r="4263" spans="1:7" x14ac:dyDescent="0.25">
      <c r="A4263" s="11" t="s">
        <v>996</v>
      </c>
      <c r="B4263" s="11" t="s">
        <v>997</v>
      </c>
      <c r="C4263" s="2876">
        <v>3</v>
      </c>
      <c r="D4263" s="2876">
        <v>889479.50877044396</v>
      </c>
      <c r="E4263" s="2877">
        <v>915498.89503902395</v>
      </c>
      <c r="F4263" s="2878">
        <v>1.6544118869879301E-2</v>
      </c>
      <c r="G4263" s="2879">
        <v>1.70264835354699E-2</v>
      </c>
    </row>
    <row r="4264" spans="1:7" x14ac:dyDescent="0.25">
      <c r="A4264" s="6" t="s">
        <v>6293</v>
      </c>
      <c r="B4264" s="6" t="s">
        <v>6294</v>
      </c>
      <c r="C4264" s="2872">
        <v>106</v>
      </c>
      <c r="D4264" s="2872">
        <v>87205615.545047596</v>
      </c>
      <c r="E4264" s="2873">
        <v>22918434.8045942</v>
      </c>
      <c r="F4264" s="2874">
        <v>1.5961157665542201</v>
      </c>
      <c r="G4264" s="2875">
        <v>0.42276246966342201</v>
      </c>
    </row>
    <row r="4265" spans="1:7" x14ac:dyDescent="0.25">
      <c r="A4265" s="11" t="s">
        <v>6293</v>
      </c>
      <c r="B4265" s="11" t="s">
        <v>6295</v>
      </c>
      <c r="C4265" s="2876">
        <v>19779</v>
      </c>
      <c r="D4265" s="2876">
        <v>5463614693.3948002</v>
      </c>
      <c r="E4265" s="2877">
        <v>0</v>
      </c>
      <c r="F4265" s="2878">
        <v>100</v>
      </c>
      <c r="G4265" s="2879">
        <v>0</v>
      </c>
    </row>
    <row r="4266" spans="1:7" x14ac:dyDescent="0.25">
      <c r="A4266" s="3353" t="s">
        <v>742</v>
      </c>
      <c r="B4266" s="3354"/>
      <c r="C4266" s="3354"/>
      <c r="D4266" s="3354"/>
      <c r="E4266" s="3354"/>
      <c r="F4266" s="3354"/>
      <c r="G4266" s="3354"/>
    </row>
    <row r="4267" spans="1:7" x14ac:dyDescent="0.25">
      <c r="A4267" s="11" t="s">
        <v>982</v>
      </c>
      <c r="B4267" s="11" t="s">
        <v>983</v>
      </c>
      <c r="C4267" s="2884">
        <v>19774</v>
      </c>
      <c r="D4267" s="2884">
        <v>5462725213.8860302</v>
      </c>
      <c r="E4267" s="2885">
        <v>72538948.047230795</v>
      </c>
      <c r="F4267" s="2886">
        <v>99.983719944419803</v>
      </c>
      <c r="G4267" s="2887">
        <v>1.6754096219557899E-2</v>
      </c>
    </row>
    <row r="4268" spans="1:7" x14ac:dyDescent="0.25">
      <c r="A4268" s="6" t="s">
        <v>996</v>
      </c>
      <c r="B4268" s="6" t="s">
        <v>997</v>
      </c>
      <c r="C4268" s="2880">
        <v>3</v>
      </c>
      <c r="D4268" s="2880">
        <v>889479.50877044396</v>
      </c>
      <c r="E4268" s="2881">
        <v>915498.89503902395</v>
      </c>
      <c r="F4268" s="2882">
        <v>1.62800555801597E-2</v>
      </c>
      <c r="G4268" s="2883">
        <v>1.67540962195592E-2</v>
      </c>
    </row>
    <row r="4269" spans="1:7" x14ac:dyDescent="0.25">
      <c r="A4269" s="11" t="s">
        <v>6293</v>
      </c>
      <c r="B4269" s="11" t="s">
        <v>6294</v>
      </c>
      <c r="C4269" s="2884">
        <v>0</v>
      </c>
      <c r="D4269" s="2884">
        <v>0</v>
      </c>
      <c r="E4269" s="2885">
        <v>0</v>
      </c>
      <c r="F4269" s="2886">
        <v>0</v>
      </c>
      <c r="G4269" s="2887">
        <v>0</v>
      </c>
    </row>
    <row r="4270" spans="1:7" x14ac:dyDescent="0.25">
      <c r="A4270" s="6" t="s">
        <v>6293</v>
      </c>
      <c r="B4270" s="6" t="s">
        <v>6295</v>
      </c>
      <c r="C4270" s="2880">
        <v>19777</v>
      </c>
      <c r="D4270" s="2880">
        <v>5463614693.3948002</v>
      </c>
      <c r="E4270" s="2881">
        <v>0</v>
      </c>
      <c r="F4270" s="2882">
        <v>100</v>
      </c>
      <c r="G4270" s="2883">
        <v>0</v>
      </c>
    </row>
    <row r="4271" spans="1:7" x14ac:dyDescent="0.25">
      <c r="A4271" s="3353" t="s">
        <v>746</v>
      </c>
      <c r="B4271" s="3354"/>
      <c r="C4271" s="3354"/>
      <c r="D4271" s="3354"/>
      <c r="E4271" s="3354"/>
      <c r="F4271" s="3354"/>
      <c r="G4271" s="3354"/>
    </row>
    <row r="4272" spans="1:7" x14ac:dyDescent="0.25">
      <c r="A4272" s="11" t="s">
        <v>988</v>
      </c>
      <c r="B4272" s="11" t="s">
        <v>6096</v>
      </c>
      <c r="C4272" s="2892">
        <v>3</v>
      </c>
      <c r="D4272" s="2892">
        <v>2628461.06930525</v>
      </c>
      <c r="E4272" s="2893">
        <v>1922583.2766662301</v>
      </c>
      <c r="F4272" s="2894">
        <v>100</v>
      </c>
      <c r="G4272" s="2895">
        <v>0</v>
      </c>
    </row>
    <row r="4273" spans="1:7" x14ac:dyDescent="0.25">
      <c r="A4273" s="6" t="s">
        <v>982</v>
      </c>
      <c r="B4273" s="6" t="s">
        <v>983</v>
      </c>
      <c r="C4273" s="2888">
        <v>19773</v>
      </c>
      <c r="D4273" s="2888">
        <v>5460096752.8167295</v>
      </c>
      <c r="E4273" s="2889">
        <v>73177742.755253002</v>
      </c>
      <c r="F4273" s="2890">
        <v>99.983712108565598</v>
      </c>
      <c r="G4273" s="2891">
        <v>1.6762343938424899E-2</v>
      </c>
    </row>
    <row r="4274" spans="1:7" x14ac:dyDescent="0.25">
      <c r="A4274" s="11" t="s">
        <v>996</v>
      </c>
      <c r="B4274" s="11" t="s">
        <v>997</v>
      </c>
      <c r="C4274" s="2892">
        <v>3</v>
      </c>
      <c r="D4274" s="2892">
        <v>889479.50877044396</v>
      </c>
      <c r="E4274" s="2893">
        <v>915498.89503902395</v>
      </c>
      <c r="F4274" s="2894">
        <v>1.6287891434431798E-2</v>
      </c>
      <c r="G4274" s="2895">
        <v>1.6762343938424198E-2</v>
      </c>
    </row>
    <row r="4275" spans="1:7" x14ac:dyDescent="0.25">
      <c r="A4275" s="6" t="s">
        <v>6293</v>
      </c>
      <c r="B4275" s="6" t="s">
        <v>6294</v>
      </c>
      <c r="C4275" s="2888">
        <v>3</v>
      </c>
      <c r="D4275" s="2888">
        <v>2628461.06930525</v>
      </c>
      <c r="E4275" s="2889">
        <v>1922583.2766662301</v>
      </c>
      <c r="F4275" s="2890">
        <v>4.81084632941432E-2</v>
      </c>
      <c r="G4275" s="2891">
        <v>3.5309111238693097E-2</v>
      </c>
    </row>
    <row r="4276" spans="1:7" x14ac:dyDescent="0.25">
      <c r="A4276" s="11" t="s">
        <v>6293</v>
      </c>
      <c r="B4276" s="11" t="s">
        <v>6295</v>
      </c>
      <c r="C4276" s="2892">
        <v>19779</v>
      </c>
      <c r="D4276" s="2892">
        <v>5463614693.3948002</v>
      </c>
      <c r="E4276" s="2893">
        <v>0</v>
      </c>
      <c r="F4276" s="2894">
        <v>100</v>
      </c>
      <c r="G4276" s="2895">
        <v>0</v>
      </c>
    </row>
    <row r="4277" spans="1:7" x14ac:dyDescent="0.25">
      <c r="A4277" s="3353" t="s">
        <v>748</v>
      </c>
      <c r="B4277" s="3354"/>
      <c r="C4277" s="3354"/>
      <c r="D4277" s="3354"/>
      <c r="E4277" s="3354"/>
      <c r="F4277" s="3354"/>
      <c r="G4277" s="3354"/>
    </row>
    <row r="4278" spans="1:7" x14ac:dyDescent="0.25">
      <c r="A4278" s="11" t="s">
        <v>982</v>
      </c>
      <c r="B4278" s="11" t="s">
        <v>983</v>
      </c>
      <c r="C4278" s="2900">
        <v>19776</v>
      </c>
      <c r="D4278" s="2900">
        <v>5462725213.8860302</v>
      </c>
      <c r="E4278" s="2901">
        <v>72538948.047230795</v>
      </c>
      <c r="F4278" s="2902">
        <v>99.983719944419803</v>
      </c>
      <c r="G4278" s="2903">
        <v>1.6754096219557899E-2</v>
      </c>
    </row>
    <row r="4279" spans="1:7" x14ac:dyDescent="0.25">
      <c r="A4279" s="6" t="s">
        <v>996</v>
      </c>
      <c r="B4279" s="6" t="s">
        <v>997</v>
      </c>
      <c r="C4279" s="2896">
        <v>3</v>
      </c>
      <c r="D4279" s="2896">
        <v>889479.50877044396</v>
      </c>
      <c r="E4279" s="2897">
        <v>915498.89503902395</v>
      </c>
      <c r="F4279" s="2898">
        <v>1.62800555801597E-2</v>
      </c>
      <c r="G4279" s="2899">
        <v>1.67540962195592E-2</v>
      </c>
    </row>
    <row r="4280" spans="1:7" x14ac:dyDescent="0.25">
      <c r="A4280" s="11" t="s">
        <v>6293</v>
      </c>
      <c r="B4280" s="11" t="s">
        <v>6294</v>
      </c>
      <c r="C4280" s="2900">
        <v>0</v>
      </c>
      <c r="D4280" s="2900">
        <v>0</v>
      </c>
      <c r="E4280" s="2901">
        <v>0</v>
      </c>
      <c r="F4280" s="2902">
        <v>0</v>
      </c>
      <c r="G4280" s="2903">
        <v>0</v>
      </c>
    </row>
    <row r="4281" spans="1:7" x14ac:dyDescent="0.25">
      <c r="A4281" s="6" t="s">
        <v>6293</v>
      </c>
      <c r="B4281" s="6" t="s">
        <v>6295</v>
      </c>
      <c r="C4281" s="2896">
        <v>19779</v>
      </c>
      <c r="D4281" s="2896">
        <v>5463614693.3948002</v>
      </c>
      <c r="E4281" s="2897">
        <v>0</v>
      </c>
      <c r="F4281" s="2898">
        <v>100</v>
      </c>
      <c r="G4281" s="2899">
        <v>0</v>
      </c>
    </row>
    <row r="4282" spans="1:7" x14ac:dyDescent="0.25">
      <c r="A4282" s="3353" t="s">
        <v>750</v>
      </c>
      <c r="B4282" s="3354"/>
      <c r="C4282" s="3354"/>
      <c r="D4282" s="3354"/>
      <c r="E4282" s="3354"/>
      <c r="F4282" s="3354"/>
      <c r="G4282" s="3354"/>
    </row>
    <row r="4283" spans="1:7" x14ac:dyDescent="0.25">
      <c r="A4283" s="11" t="s">
        <v>982</v>
      </c>
      <c r="B4283" s="11" t="s">
        <v>983</v>
      </c>
      <c r="C4283" s="2908">
        <v>19776</v>
      </c>
      <c r="D4283" s="2908">
        <v>5462725213.8860302</v>
      </c>
      <c r="E4283" s="2909">
        <v>72538948.047230795</v>
      </c>
      <c r="F4283" s="2910">
        <v>99.983719944419803</v>
      </c>
      <c r="G4283" s="2911">
        <v>1.6754096219557899E-2</v>
      </c>
    </row>
    <row r="4284" spans="1:7" x14ac:dyDescent="0.25">
      <c r="A4284" s="6" t="s">
        <v>996</v>
      </c>
      <c r="B4284" s="6" t="s">
        <v>997</v>
      </c>
      <c r="C4284" s="2904">
        <v>3</v>
      </c>
      <c r="D4284" s="2904">
        <v>889479.50877044396</v>
      </c>
      <c r="E4284" s="2905">
        <v>915498.89503902395</v>
      </c>
      <c r="F4284" s="2906">
        <v>1.62800555801597E-2</v>
      </c>
      <c r="G4284" s="2907">
        <v>1.67540962195592E-2</v>
      </c>
    </row>
    <row r="4285" spans="1:7" x14ac:dyDescent="0.25">
      <c r="A4285" s="11" t="s">
        <v>6293</v>
      </c>
      <c r="B4285" s="11" t="s">
        <v>6294</v>
      </c>
      <c r="C4285" s="2908">
        <v>0</v>
      </c>
      <c r="D4285" s="2908">
        <v>0</v>
      </c>
      <c r="E4285" s="2909">
        <v>0</v>
      </c>
      <c r="F4285" s="2910">
        <v>0</v>
      </c>
      <c r="G4285" s="2911">
        <v>0</v>
      </c>
    </row>
    <row r="4286" spans="1:7" x14ac:dyDescent="0.25">
      <c r="A4286" s="6" t="s">
        <v>6293</v>
      </c>
      <c r="B4286" s="6" t="s">
        <v>6295</v>
      </c>
      <c r="C4286" s="2904">
        <v>19779</v>
      </c>
      <c r="D4286" s="2904">
        <v>5463614693.3948002</v>
      </c>
      <c r="E4286" s="2905">
        <v>0</v>
      </c>
      <c r="F4286" s="2906">
        <v>100</v>
      </c>
      <c r="G4286" s="2907">
        <v>0</v>
      </c>
    </row>
    <row r="4287" spans="1:7" x14ac:dyDescent="0.25">
      <c r="A4287" s="3353" t="s">
        <v>752</v>
      </c>
      <c r="B4287" s="3354"/>
      <c r="C4287" s="3354"/>
      <c r="D4287" s="3354"/>
      <c r="E4287" s="3354"/>
      <c r="F4287" s="3354"/>
      <c r="G4287" s="3354"/>
    </row>
    <row r="4288" spans="1:7" x14ac:dyDescent="0.25">
      <c r="A4288" s="11" t="s">
        <v>982</v>
      </c>
      <c r="B4288" s="11" t="s">
        <v>983</v>
      </c>
      <c r="C4288" s="2916">
        <v>19776</v>
      </c>
      <c r="D4288" s="2916">
        <v>5462725213.8860302</v>
      </c>
      <c r="E4288" s="2917">
        <v>72538948.047230795</v>
      </c>
      <c r="F4288" s="2918">
        <v>99.983719944419803</v>
      </c>
      <c r="G4288" s="2919">
        <v>1.6754096219557899E-2</v>
      </c>
    </row>
    <row r="4289" spans="1:7" x14ac:dyDescent="0.25">
      <c r="A4289" s="6" t="s">
        <v>996</v>
      </c>
      <c r="B4289" s="6" t="s">
        <v>997</v>
      </c>
      <c r="C4289" s="2912">
        <v>3</v>
      </c>
      <c r="D4289" s="2912">
        <v>889479.50877044396</v>
      </c>
      <c r="E4289" s="2913">
        <v>915498.89503902395</v>
      </c>
      <c r="F4289" s="2914">
        <v>1.62800555801597E-2</v>
      </c>
      <c r="G4289" s="2915">
        <v>1.67540962195592E-2</v>
      </c>
    </row>
    <row r="4290" spans="1:7" x14ac:dyDescent="0.25">
      <c r="A4290" s="11" t="s">
        <v>6293</v>
      </c>
      <c r="B4290" s="11" t="s">
        <v>6294</v>
      </c>
      <c r="C4290" s="2916">
        <v>0</v>
      </c>
      <c r="D4290" s="2916">
        <v>0</v>
      </c>
      <c r="E4290" s="2917">
        <v>0</v>
      </c>
      <c r="F4290" s="2918">
        <v>0</v>
      </c>
      <c r="G4290" s="2919">
        <v>0</v>
      </c>
    </row>
    <row r="4291" spans="1:7" x14ac:dyDescent="0.25">
      <c r="A4291" s="6" t="s">
        <v>6293</v>
      </c>
      <c r="B4291" s="6" t="s">
        <v>6295</v>
      </c>
      <c r="C4291" s="2912">
        <v>19779</v>
      </c>
      <c r="D4291" s="2912">
        <v>5463614693.3948002</v>
      </c>
      <c r="E4291" s="2913">
        <v>0</v>
      </c>
      <c r="F4291" s="2914">
        <v>100</v>
      </c>
      <c r="G4291" s="2915">
        <v>0</v>
      </c>
    </row>
    <row r="4292" spans="1:7" x14ac:dyDescent="0.25">
      <c r="A4292" s="3353" t="s">
        <v>754</v>
      </c>
      <c r="B4292" s="3354"/>
      <c r="C4292" s="3354"/>
      <c r="D4292" s="3354"/>
      <c r="E4292" s="3354"/>
      <c r="F4292" s="3354"/>
      <c r="G4292" s="3354"/>
    </row>
    <row r="4293" spans="1:7" x14ac:dyDescent="0.25">
      <c r="A4293" s="11" t="s">
        <v>982</v>
      </c>
      <c r="B4293" s="11" t="s">
        <v>983</v>
      </c>
      <c r="C4293" s="2924">
        <v>19776</v>
      </c>
      <c r="D4293" s="2924">
        <v>5462725213.8860302</v>
      </c>
      <c r="E4293" s="2925">
        <v>72538948.047230795</v>
      </c>
      <c r="F4293" s="2926">
        <v>99.983719944419803</v>
      </c>
      <c r="G4293" s="2927">
        <v>1.6754096219557899E-2</v>
      </c>
    </row>
    <row r="4294" spans="1:7" x14ac:dyDescent="0.25">
      <c r="A4294" s="6" t="s">
        <v>996</v>
      </c>
      <c r="B4294" s="6" t="s">
        <v>997</v>
      </c>
      <c r="C4294" s="2920">
        <v>3</v>
      </c>
      <c r="D4294" s="2920">
        <v>889479.50877044396</v>
      </c>
      <c r="E4294" s="2921">
        <v>915498.89503902395</v>
      </c>
      <c r="F4294" s="2922">
        <v>1.62800555801597E-2</v>
      </c>
      <c r="G4294" s="2923">
        <v>1.67540962195592E-2</v>
      </c>
    </row>
    <row r="4295" spans="1:7" x14ac:dyDescent="0.25">
      <c r="A4295" s="11" t="s">
        <v>6293</v>
      </c>
      <c r="B4295" s="11" t="s">
        <v>6294</v>
      </c>
      <c r="C4295" s="2924">
        <v>0</v>
      </c>
      <c r="D4295" s="2924">
        <v>0</v>
      </c>
      <c r="E4295" s="2925">
        <v>0</v>
      </c>
      <c r="F4295" s="2926">
        <v>0</v>
      </c>
      <c r="G4295" s="2927">
        <v>0</v>
      </c>
    </row>
    <row r="4296" spans="1:7" x14ac:dyDescent="0.25">
      <c r="A4296" s="6" t="s">
        <v>6293</v>
      </c>
      <c r="B4296" s="6" t="s">
        <v>6295</v>
      </c>
      <c r="C4296" s="2920">
        <v>19779</v>
      </c>
      <c r="D4296" s="2920">
        <v>5463614693.3948002</v>
      </c>
      <c r="E4296" s="2921">
        <v>0</v>
      </c>
      <c r="F4296" s="2922">
        <v>100</v>
      </c>
      <c r="G4296" s="2923">
        <v>0</v>
      </c>
    </row>
    <row r="4297" spans="1:7" x14ac:dyDescent="0.25">
      <c r="A4297" s="3353" t="s">
        <v>756</v>
      </c>
      <c r="B4297" s="3354"/>
      <c r="C4297" s="3354"/>
      <c r="D4297" s="3354"/>
      <c r="E4297" s="3354"/>
      <c r="F4297" s="3354"/>
      <c r="G4297" s="3354"/>
    </row>
    <row r="4298" spans="1:7" x14ac:dyDescent="0.25">
      <c r="A4298" s="11" t="s">
        <v>982</v>
      </c>
      <c r="B4298" s="11" t="s">
        <v>983</v>
      </c>
      <c r="C4298" s="2932">
        <v>19776</v>
      </c>
      <c r="D4298" s="2932">
        <v>5462725213.8860302</v>
      </c>
      <c r="E4298" s="2933">
        <v>72538948.047230795</v>
      </c>
      <c r="F4298" s="2934">
        <v>99.983719944419803</v>
      </c>
      <c r="G4298" s="2935">
        <v>1.6754096219557899E-2</v>
      </c>
    </row>
    <row r="4299" spans="1:7" x14ac:dyDescent="0.25">
      <c r="A4299" s="6" t="s">
        <v>996</v>
      </c>
      <c r="B4299" s="6" t="s">
        <v>997</v>
      </c>
      <c r="C4299" s="2928">
        <v>3</v>
      </c>
      <c r="D4299" s="2928">
        <v>889479.50877044396</v>
      </c>
      <c r="E4299" s="2929">
        <v>915498.89503902395</v>
      </c>
      <c r="F4299" s="2930">
        <v>1.62800555801597E-2</v>
      </c>
      <c r="G4299" s="2931">
        <v>1.67540962195592E-2</v>
      </c>
    </row>
    <row r="4300" spans="1:7" x14ac:dyDescent="0.25">
      <c r="A4300" s="11" t="s">
        <v>6293</v>
      </c>
      <c r="B4300" s="11" t="s">
        <v>6294</v>
      </c>
      <c r="C4300" s="2932">
        <v>0</v>
      </c>
      <c r="D4300" s="2932">
        <v>0</v>
      </c>
      <c r="E4300" s="2933">
        <v>0</v>
      </c>
      <c r="F4300" s="2934">
        <v>0</v>
      </c>
      <c r="G4300" s="2935">
        <v>0</v>
      </c>
    </row>
    <row r="4301" spans="1:7" x14ac:dyDescent="0.25">
      <c r="A4301" s="6" t="s">
        <v>6293</v>
      </c>
      <c r="B4301" s="6" t="s">
        <v>6295</v>
      </c>
      <c r="C4301" s="2928">
        <v>19779</v>
      </c>
      <c r="D4301" s="2928">
        <v>5463614693.3948002</v>
      </c>
      <c r="E4301" s="2929">
        <v>0</v>
      </c>
      <c r="F4301" s="2930">
        <v>100</v>
      </c>
      <c r="G4301" s="2931">
        <v>0</v>
      </c>
    </row>
    <row r="4302" spans="1:7" x14ac:dyDescent="0.25">
      <c r="A4302" s="3353" t="s">
        <v>758</v>
      </c>
      <c r="B4302" s="3354"/>
      <c r="C4302" s="3354"/>
      <c r="D4302" s="3354"/>
      <c r="E4302" s="3354"/>
      <c r="F4302" s="3354"/>
      <c r="G4302" s="3354"/>
    </row>
    <row r="4303" spans="1:7" x14ac:dyDescent="0.25">
      <c r="A4303" s="11" t="s">
        <v>982</v>
      </c>
      <c r="B4303" s="11" t="s">
        <v>983</v>
      </c>
      <c r="C4303" s="2940">
        <v>19776</v>
      </c>
      <c r="D4303" s="2940">
        <v>5462725213.8860302</v>
      </c>
      <c r="E4303" s="2941">
        <v>72538948.047230795</v>
      </c>
      <c r="F4303" s="2942">
        <v>99.983719944419803</v>
      </c>
      <c r="G4303" s="2943">
        <v>1.6754096219557899E-2</v>
      </c>
    </row>
    <row r="4304" spans="1:7" x14ac:dyDescent="0.25">
      <c r="A4304" s="6" t="s">
        <v>996</v>
      </c>
      <c r="B4304" s="6" t="s">
        <v>997</v>
      </c>
      <c r="C4304" s="2936">
        <v>3</v>
      </c>
      <c r="D4304" s="2936">
        <v>889479.50877044396</v>
      </c>
      <c r="E4304" s="2937">
        <v>915498.89503902395</v>
      </c>
      <c r="F4304" s="2938">
        <v>1.62800555801597E-2</v>
      </c>
      <c r="G4304" s="2939">
        <v>1.67540962195592E-2</v>
      </c>
    </row>
    <row r="4305" spans="1:7" x14ac:dyDescent="0.25">
      <c r="A4305" s="11" t="s">
        <v>6293</v>
      </c>
      <c r="B4305" s="11" t="s">
        <v>6294</v>
      </c>
      <c r="C4305" s="2940">
        <v>0</v>
      </c>
      <c r="D4305" s="2940">
        <v>0</v>
      </c>
      <c r="E4305" s="2941">
        <v>0</v>
      </c>
      <c r="F4305" s="2942">
        <v>0</v>
      </c>
      <c r="G4305" s="2943">
        <v>0</v>
      </c>
    </row>
    <row r="4306" spans="1:7" x14ac:dyDescent="0.25">
      <c r="A4306" s="6" t="s">
        <v>6293</v>
      </c>
      <c r="B4306" s="6" t="s">
        <v>6295</v>
      </c>
      <c r="C4306" s="2936">
        <v>19779</v>
      </c>
      <c r="D4306" s="2936">
        <v>5463614693.3948002</v>
      </c>
      <c r="E4306" s="2937">
        <v>0</v>
      </c>
      <c r="F4306" s="2938">
        <v>100</v>
      </c>
      <c r="G4306" s="2939">
        <v>0</v>
      </c>
    </row>
    <row r="4307" spans="1:7" x14ac:dyDescent="0.25">
      <c r="A4307" s="3353" t="s">
        <v>722</v>
      </c>
      <c r="B4307" s="3354"/>
      <c r="C4307" s="3354"/>
      <c r="D4307" s="3354"/>
      <c r="E4307" s="3354"/>
      <c r="F4307" s="3354"/>
      <c r="G4307" s="3354"/>
    </row>
    <row r="4308" spans="1:7" x14ac:dyDescent="0.25">
      <c r="A4308" s="11" t="s">
        <v>982</v>
      </c>
      <c r="B4308" s="11" t="s">
        <v>983</v>
      </c>
      <c r="C4308" s="2948">
        <v>19776</v>
      </c>
      <c r="D4308" s="2948">
        <v>5462725213.8860302</v>
      </c>
      <c r="E4308" s="2949">
        <v>72538948.047230795</v>
      </c>
      <c r="F4308" s="2950">
        <v>99.983719944419803</v>
      </c>
      <c r="G4308" s="2951">
        <v>1.6754096219557899E-2</v>
      </c>
    </row>
    <row r="4309" spans="1:7" x14ac:dyDescent="0.25">
      <c r="A4309" s="6" t="s">
        <v>996</v>
      </c>
      <c r="B4309" s="6" t="s">
        <v>997</v>
      </c>
      <c r="C4309" s="2944">
        <v>3</v>
      </c>
      <c r="D4309" s="2944">
        <v>889479.50877044396</v>
      </c>
      <c r="E4309" s="2945">
        <v>915498.89503902395</v>
      </c>
      <c r="F4309" s="2946">
        <v>1.62800555801597E-2</v>
      </c>
      <c r="G4309" s="2947">
        <v>1.67540962195592E-2</v>
      </c>
    </row>
    <row r="4310" spans="1:7" x14ac:dyDescent="0.25">
      <c r="A4310" s="11" t="s">
        <v>6293</v>
      </c>
      <c r="B4310" s="11" t="s">
        <v>6294</v>
      </c>
      <c r="C4310" s="2948">
        <v>0</v>
      </c>
      <c r="D4310" s="2948">
        <v>0</v>
      </c>
      <c r="E4310" s="2949">
        <v>0</v>
      </c>
      <c r="F4310" s="2950">
        <v>0</v>
      </c>
      <c r="G4310" s="2951">
        <v>0</v>
      </c>
    </row>
    <row r="4311" spans="1:7" x14ac:dyDescent="0.25">
      <c r="A4311" s="6" t="s">
        <v>6293</v>
      </c>
      <c r="B4311" s="6" t="s">
        <v>6295</v>
      </c>
      <c r="C4311" s="2944">
        <v>19779</v>
      </c>
      <c r="D4311" s="2944">
        <v>5463614693.3948002</v>
      </c>
      <c r="E4311" s="2945">
        <v>0</v>
      </c>
      <c r="F4311" s="2946">
        <v>100</v>
      </c>
      <c r="G4311" s="2947">
        <v>0</v>
      </c>
    </row>
    <row r="4312" spans="1:7" x14ac:dyDescent="0.25">
      <c r="A4312" s="3353" t="s">
        <v>724</v>
      </c>
      <c r="B4312" s="3354"/>
      <c r="C4312" s="3354"/>
      <c r="D4312" s="3354"/>
      <c r="E4312" s="3354"/>
      <c r="F4312" s="3354"/>
      <c r="G4312" s="3354"/>
    </row>
    <row r="4313" spans="1:7" x14ac:dyDescent="0.25">
      <c r="A4313" s="11" t="s">
        <v>1019</v>
      </c>
      <c r="B4313" s="11" t="s">
        <v>6083</v>
      </c>
      <c r="C4313" s="2956">
        <v>7</v>
      </c>
      <c r="D4313" s="2956">
        <v>6107066.4935727697</v>
      </c>
      <c r="E4313" s="2957">
        <v>2968355.0459715701</v>
      </c>
      <c r="F4313" s="2958">
        <v>100</v>
      </c>
      <c r="G4313" s="2959">
        <v>0</v>
      </c>
    </row>
    <row r="4314" spans="1:7" x14ac:dyDescent="0.25">
      <c r="A4314" s="6" t="s">
        <v>982</v>
      </c>
      <c r="B4314" s="6" t="s">
        <v>983</v>
      </c>
      <c r="C4314" s="2952">
        <v>19769</v>
      </c>
      <c r="D4314" s="2952">
        <v>5456618147.3924599</v>
      </c>
      <c r="E4314" s="2953">
        <v>73594758.131980196</v>
      </c>
      <c r="F4314" s="2954">
        <v>99.983701726693198</v>
      </c>
      <c r="G4314" s="2955">
        <v>1.6773414311473899E-2</v>
      </c>
    </row>
    <row r="4315" spans="1:7" x14ac:dyDescent="0.25">
      <c r="A4315" s="11" t="s">
        <v>996</v>
      </c>
      <c r="B4315" s="11" t="s">
        <v>997</v>
      </c>
      <c r="C4315" s="2956">
        <v>3</v>
      </c>
      <c r="D4315" s="2956">
        <v>889479.50877044396</v>
      </c>
      <c r="E4315" s="2957">
        <v>915498.89503902395</v>
      </c>
      <c r="F4315" s="2958">
        <v>1.6298273306774799E-2</v>
      </c>
      <c r="G4315" s="2959">
        <v>1.6773414311476401E-2</v>
      </c>
    </row>
    <row r="4316" spans="1:7" x14ac:dyDescent="0.25">
      <c r="A4316" s="6" t="s">
        <v>6293</v>
      </c>
      <c r="B4316" s="6" t="s">
        <v>6294</v>
      </c>
      <c r="C4316" s="2952">
        <v>7</v>
      </c>
      <c r="D4316" s="2952">
        <v>6107066.4935727697</v>
      </c>
      <c r="E4316" s="2953">
        <v>2968355.0459715701</v>
      </c>
      <c r="F4316" s="2954">
        <v>0.11177703473408999</v>
      </c>
      <c r="G4316" s="2955">
        <v>5.4825389267878603E-2</v>
      </c>
    </row>
    <row r="4317" spans="1:7" x14ac:dyDescent="0.25">
      <c r="A4317" s="11" t="s">
        <v>6293</v>
      </c>
      <c r="B4317" s="11" t="s">
        <v>6295</v>
      </c>
      <c r="C4317" s="2956">
        <v>19779</v>
      </c>
      <c r="D4317" s="2956">
        <v>5463614693.3948002</v>
      </c>
      <c r="E4317" s="2957">
        <v>0</v>
      </c>
      <c r="F4317" s="2958">
        <v>100</v>
      </c>
      <c r="G4317" s="2959">
        <v>0</v>
      </c>
    </row>
    <row r="4318" spans="1:7" x14ac:dyDescent="0.25">
      <c r="A4318" s="3353" t="s">
        <v>726</v>
      </c>
      <c r="B4318" s="3354"/>
      <c r="C4318" s="3354"/>
      <c r="D4318" s="3354"/>
      <c r="E4318" s="3354"/>
      <c r="F4318" s="3354"/>
      <c r="G4318" s="3354"/>
    </row>
    <row r="4319" spans="1:7" x14ac:dyDescent="0.25">
      <c r="A4319" s="11" t="s">
        <v>982</v>
      </c>
      <c r="B4319" s="11" t="s">
        <v>983</v>
      </c>
      <c r="C4319" s="2964">
        <v>19776</v>
      </c>
      <c r="D4319" s="2964">
        <v>5462725213.8860302</v>
      </c>
      <c r="E4319" s="2965">
        <v>72538948.047230795</v>
      </c>
      <c r="F4319" s="2966">
        <v>99.983719944419803</v>
      </c>
      <c r="G4319" s="2967">
        <v>1.6754096219557899E-2</v>
      </c>
    </row>
    <row r="4320" spans="1:7" x14ac:dyDescent="0.25">
      <c r="A4320" s="6" t="s">
        <v>996</v>
      </c>
      <c r="B4320" s="6" t="s">
        <v>997</v>
      </c>
      <c r="C4320" s="2960">
        <v>3</v>
      </c>
      <c r="D4320" s="2960">
        <v>889479.50877044396</v>
      </c>
      <c r="E4320" s="2961">
        <v>915498.89503902395</v>
      </c>
      <c r="F4320" s="2962">
        <v>1.62800555801597E-2</v>
      </c>
      <c r="G4320" s="2963">
        <v>1.67540962195592E-2</v>
      </c>
    </row>
    <row r="4321" spans="1:7" x14ac:dyDescent="0.25">
      <c r="A4321" s="11" t="s">
        <v>6293</v>
      </c>
      <c r="B4321" s="11" t="s">
        <v>6294</v>
      </c>
      <c r="C4321" s="2964">
        <v>0</v>
      </c>
      <c r="D4321" s="2964">
        <v>0</v>
      </c>
      <c r="E4321" s="2965">
        <v>0</v>
      </c>
      <c r="F4321" s="2966">
        <v>0</v>
      </c>
      <c r="G4321" s="2967">
        <v>0</v>
      </c>
    </row>
    <row r="4322" spans="1:7" x14ac:dyDescent="0.25">
      <c r="A4322" s="6" t="s">
        <v>6293</v>
      </c>
      <c r="B4322" s="6" t="s">
        <v>6295</v>
      </c>
      <c r="C4322" s="2960">
        <v>19779</v>
      </c>
      <c r="D4322" s="2960">
        <v>5463614693.3948002</v>
      </c>
      <c r="E4322" s="2961">
        <v>0</v>
      </c>
      <c r="F4322" s="2962">
        <v>100</v>
      </c>
      <c r="G4322" s="2963">
        <v>0</v>
      </c>
    </row>
    <row r="4323" spans="1:7" x14ac:dyDescent="0.25">
      <c r="A4323" s="3353" t="s">
        <v>728</v>
      </c>
      <c r="B4323" s="3354"/>
      <c r="C4323" s="3354"/>
      <c r="D4323" s="3354"/>
      <c r="E4323" s="3354"/>
      <c r="F4323" s="3354"/>
      <c r="G4323" s="3354"/>
    </row>
    <row r="4324" spans="1:7" x14ac:dyDescent="0.25">
      <c r="A4324" s="11" t="s">
        <v>1023</v>
      </c>
      <c r="B4324" s="11" t="s">
        <v>6084</v>
      </c>
      <c r="C4324" s="2972">
        <v>4</v>
      </c>
      <c r="D4324" s="2972">
        <v>602266.87005627505</v>
      </c>
      <c r="E4324" s="2973">
        <v>485136.87780585099</v>
      </c>
      <c r="F4324" s="2974">
        <v>100</v>
      </c>
      <c r="G4324" s="2975">
        <v>0</v>
      </c>
    </row>
    <row r="4325" spans="1:7" x14ac:dyDescent="0.25">
      <c r="A4325" s="6" t="s">
        <v>982</v>
      </c>
      <c r="B4325" s="6" t="s">
        <v>983</v>
      </c>
      <c r="C4325" s="2968">
        <v>19772</v>
      </c>
      <c r="D4325" s="2968">
        <v>5462122947.0159702</v>
      </c>
      <c r="E4325" s="2969">
        <v>72785606.091849402</v>
      </c>
      <c r="F4325" s="2970">
        <v>99.983718149633901</v>
      </c>
      <c r="G4325" s="2971">
        <v>1.67559692512405E-2</v>
      </c>
    </row>
    <row r="4326" spans="1:7" x14ac:dyDescent="0.25">
      <c r="A4326" s="11" t="s">
        <v>996</v>
      </c>
      <c r="B4326" s="11" t="s">
        <v>997</v>
      </c>
      <c r="C4326" s="2972">
        <v>3</v>
      </c>
      <c r="D4326" s="2972">
        <v>889479.50877044396</v>
      </c>
      <c r="E4326" s="2973">
        <v>915498.89503902395</v>
      </c>
      <c r="F4326" s="2974">
        <v>1.6281850366141E-2</v>
      </c>
      <c r="G4326" s="2975">
        <v>1.6755969251239001E-2</v>
      </c>
    </row>
    <row r="4327" spans="1:7" x14ac:dyDescent="0.25">
      <c r="A4327" s="6" t="s">
        <v>6293</v>
      </c>
      <c r="B4327" s="6" t="s">
        <v>6294</v>
      </c>
      <c r="C4327" s="2968">
        <v>4</v>
      </c>
      <c r="D4327" s="2968">
        <v>602266.87005627505</v>
      </c>
      <c r="E4327" s="2969">
        <v>485136.87780585099</v>
      </c>
      <c r="F4327" s="2970">
        <v>1.1023231026601899E-2</v>
      </c>
      <c r="G4327" s="2971">
        <v>8.9163956439251898E-3</v>
      </c>
    </row>
    <row r="4328" spans="1:7" x14ac:dyDescent="0.25">
      <c r="A4328" s="11" t="s">
        <v>6293</v>
      </c>
      <c r="B4328" s="11" t="s">
        <v>6295</v>
      </c>
      <c r="C4328" s="2972">
        <v>19779</v>
      </c>
      <c r="D4328" s="2972">
        <v>5463614693.3948002</v>
      </c>
      <c r="E4328" s="2973">
        <v>0</v>
      </c>
      <c r="F4328" s="2974">
        <v>100</v>
      </c>
      <c r="G4328" s="2975">
        <v>0</v>
      </c>
    </row>
    <row r="4329" spans="1:7" x14ac:dyDescent="0.25">
      <c r="A4329" s="3353" t="s">
        <v>730</v>
      </c>
      <c r="B4329" s="3354"/>
      <c r="C4329" s="3354"/>
      <c r="D4329" s="3354"/>
      <c r="E4329" s="3354"/>
      <c r="F4329" s="3354"/>
      <c r="G4329" s="3354"/>
    </row>
    <row r="4330" spans="1:7" x14ac:dyDescent="0.25">
      <c r="A4330" s="11" t="s">
        <v>982</v>
      </c>
      <c r="B4330" s="11" t="s">
        <v>983</v>
      </c>
      <c r="C4330" s="2980">
        <v>19776</v>
      </c>
      <c r="D4330" s="2980">
        <v>5462725213.8860302</v>
      </c>
      <c r="E4330" s="2981">
        <v>72538948.047230795</v>
      </c>
      <c r="F4330" s="2982">
        <v>99.983719944419803</v>
      </c>
      <c r="G4330" s="2983">
        <v>1.6754096219557899E-2</v>
      </c>
    </row>
    <row r="4331" spans="1:7" x14ac:dyDescent="0.25">
      <c r="A4331" s="6" t="s">
        <v>996</v>
      </c>
      <c r="B4331" s="6" t="s">
        <v>997</v>
      </c>
      <c r="C4331" s="2976">
        <v>3</v>
      </c>
      <c r="D4331" s="2976">
        <v>889479.50877044396</v>
      </c>
      <c r="E4331" s="2977">
        <v>915498.89503902395</v>
      </c>
      <c r="F4331" s="2978">
        <v>1.62800555801597E-2</v>
      </c>
      <c r="G4331" s="2979">
        <v>1.67540962195592E-2</v>
      </c>
    </row>
    <row r="4332" spans="1:7" x14ac:dyDescent="0.25">
      <c r="A4332" s="11" t="s">
        <v>6293</v>
      </c>
      <c r="B4332" s="11" t="s">
        <v>6294</v>
      </c>
      <c r="C4332" s="2980">
        <v>0</v>
      </c>
      <c r="D4332" s="2980">
        <v>0</v>
      </c>
      <c r="E4332" s="2981">
        <v>0</v>
      </c>
      <c r="F4332" s="2982">
        <v>0</v>
      </c>
      <c r="G4332" s="2983">
        <v>0</v>
      </c>
    </row>
    <row r="4333" spans="1:7" x14ac:dyDescent="0.25">
      <c r="A4333" s="6" t="s">
        <v>6293</v>
      </c>
      <c r="B4333" s="6" t="s">
        <v>6295</v>
      </c>
      <c r="C4333" s="2976">
        <v>19779</v>
      </c>
      <c r="D4333" s="2976">
        <v>5463614693.3948002</v>
      </c>
      <c r="E4333" s="2977">
        <v>0</v>
      </c>
      <c r="F4333" s="2978">
        <v>100</v>
      </c>
      <c r="G4333" s="2979">
        <v>0</v>
      </c>
    </row>
    <row r="4334" spans="1:7" x14ac:dyDescent="0.25">
      <c r="A4334" s="3353" t="s">
        <v>732</v>
      </c>
      <c r="B4334" s="3354"/>
      <c r="C4334" s="3354"/>
      <c r="D4334" s="3354"/>
      <c r="E4334" s="3354"/>
      <c r="F4334" s="3354"/>
      <c r="G4334" s="3354"/>
    </row>
    <row r="4335" spans="1:7" x14ac:dyDescent="0.25">
      <c r="A4335" s="11" t="s">
        <v>1027</v>
      </c>
      <c r="B4335" s="11" t="s">
        <v>6067</v>
      </c>
      <c r="C4335" s="2988">
        <v>1</v>
      </c>
      <c r="D4335" s="2988">
        <v>29445.891977491399</v>
      </c>
      <c r="E4335" s="2989">
        <v>29712.319852577199</v>
      </c>
      <c r="F4335" s="2990">
        <v>100</v>
      </c>
      <c r="G4335" s="2991" t="e">
        <v>#NUM!</v>
      </c>
    </row>
    <row r="4336" spans="1:7" x14ac:dyDescent="0.25">
      <c r="A4336" s="6" t="s">
        <v>982</v>
      </c>
      <c r="B4336" s="6" t="s">
        <v>983</v>
      </c>
      <c r="C4336" s="2984">
        <v>19775</v>
      </c>
      <c r="D4336" s="2984">
        <v>5462695767.99405</v>
      </c>
      <c r="E4336" s="2985">
        <v>72530462.129586697</v>
      </c>
      <c r="F4336" s="2986">
        <v>99.983719856678803</v>
      </c>
      <c r="G4336" s="2987">
        <v>1.67541911656496E-2</v>
      </c>
    </row>
    <row r="4337" spans="1:7" x14ac:dyDescent="0.25">
      <c r="A4337" s="11" t="s">
        <v>996</v>
      </c>
      <c r="B4337" s="11" t="s">
        <v>997</v>
      </c>
      <c r="C4337" s="2988">
        <v>3</v>
      </c>
      <c r="D4337" s="2988">
        <v>889479.50877044396</v>
      </c>
      <c r="E4337" s="2989">
        <v>915498.89503902395</v>
      </c>
      <c r="F4337" s="2990">
        <v>1.62801433212191E-2</v>
      </c>
      <c r="G4337" s="2991">
        <v>1.67541911656514E-2</v>
      </c>
    </row>
    <row r="4338" spans="1:7" x14ac:dyDescent="0.25">
      <c r="A4338" s="6" t="s">
        <v>6293</v>
      </c>
      <c r="B4338" s="6" t="s">
        <v>6294</v>
      </c>
      <c r="C4338" s="2984">
        <v>1</v>
      </c>
      <c r="D4338" s="2984">
        <v>29445.891977491399</v>
      </c>
      <c r="E4338" s="2985">
        <v>29712.319852577199</v>
      </c>
      <c r="F4338" s="2986">
        <v>5.3894525199754304E-4</v>
      </c>
      <c r="G4338" s="2987">
        <v>5.4255732098913603E-4</v>
      </c>
    </row>
    <row r="4339" spans="1:7" x14ac:dyDescent="0.25">
      <c r="A4339" s="11" t="s">
        <v>6293</v>
      </c>
      <c r="B4339" s="11" t="s">
        <v>6295</v>
      </c>
      <c r="C4339" s="2988">
        <v>19779</v>
      </c>
      <c r="D4339" s="2988">
        <v>5463614693.3948002</v>
      </c>
      <c r="E4339" s="2989">
        <v>0</v>
      </c>
      <c r="F4339" s="2990">
        <v>100</v>
      </c>
      <c r="G4339" s="2991">
        <v>0</v>
      </c>
    </row>
    <row r="4340" spans="1:7" x14ac:dyDescent="0.25">
      <c r="A4340" s="3353" t="s">
        <v>734</v>
      </c>
      <c r="B4340" s="3354"/>
      <c r="C4340" s="3354"/>
      <c r="D4340" s="3354"/>
      <c r="E4340" s="3354"/>
      <c r="F4340" s="3354"/>
      <c r="G4340" s="3354"/>
    </row>
    <row r="4341" spans="1:7" x14ac:dyDescent="0.25">
      <c r="A4341" s="11" t="s">
        <v>1029</v>
      </c>
      <c r="B4341" s="11" t="s">
        <v>6068</v>
      </c>
      <c r="C4341" s="2996">
        <v>3</v>
      </c>
      <c r="D4341" s="2996">
        <v>485919.15435345302</v>
      </c>
      <c r="E4341" s="2997">
        <v>490738.67911149201</v>
      </c>
      <c r="F4341" s="2998">
        <v>100</v>
      </c>
      <c r="G4341" s="2999" t="e">
        <v>#NUM!</v>
      </c>
    </row>
    <row r="4342" spans="1:7" x14ac:dyDescent="0.25">
      <c r="A4342" s="6" t="s">
        <v>982</v>
      </c>
      <c r="B4342" s="6" t="s">
        <v>983</v>
      </c>
      <c r="C4342" s="2992">
        <v>19773</v>
      </c>
      <c r="D4342" s="2992">
        <v>5462239294.7316704</v>
      </c>
      <c r="E4342" s="2993">
        <v>72752103.545384705</v>
      </c>
      <c r="F4342" s="2994">
        <v>99.9837184963868</v>
      </c>
      <c r="G4342" s="2995">
        <v>1.6755600847075801E-2</v>
      </c>
    </row>
    <row r="4343" spans="1:7" x14ac:dyDescent="0.25">
      <c r="A4343" s="11" t="s">
        <v>996</v>
      </c>
      <c r="B4343" s="11" t="s">
        <v>997</v>
      </c>
      <c r="C4343" s="2996">
        <v>3</v>
      </c>
      <c r="D4343" s="2996">
        <v>889479.50877044396</v>
      </c>
      <c r="E4343" s="2997">
        <v>915498.89503902395</v>
      </c>
      <c r="F4343" s="2998">
        <v>1.6281503613176498E-2</v>
      </c>
      <c r="G4343" s="2999">
        <v>1.67556008470751E-2</v>
      </c>
    </row>
    <row r="4344" spans="1:7" x14ac:dyDescent="0.25">
      <c r="A4344" s="6" t="s">
        <v>6293</v>
      </c>
      <c r="B4344" s="6" t="s">
        <v>6294</v>
      </c>
      <c r="C4344" s="2992">
        <v>3</v>
      </c>
      <c r="D4344" s="2992">
        <v>485919.15435345302</v>
      </c>
      <c r="E4344" s="2993">
        <v>490738.67911149201</v>
      </c>
      <c r="F4344" s="2994">
        <v>8.8937302797157704E-3</v>
      </c>
      <c r="G4344" s="2995">
        <v>8.9947437751834603E-3</v>
      </c>
    </row>
    <row r="4345" spans="1:7" x14ac:dyDescent="0.25">
      <c r="A4345" s="11" t="s">
        <v>6293</v>
      </c>
      <c r="B4345" s="11" t="s">
        <v>6295</v>
      </c>
      <c r="C4345" s="2996">
        <v>19779</v>
      </c>
      <c r="D4345" s="2996">
        <v>5463614693.3948002</v>
      </c>
      <c r="E4345" s="2997">
        <v>0</v>
      </c>
      <c r="F4345" s="2998">
        <v>100</v>
      </c>
      <c r="G4345" s="2999">
        <v>0</v>
      </c>
    </row>
    <row r="4346" spans="1:7" x14ac:dyDescent="0.25">
      <c r="A4346" s="3353" t="s">
        <v>736</v>
      </c>
      <c r="B4346" s="3354"/>
      <c r="C4346" s="3354"/>
      <c r="D4346" s="3354"/>
      <c r="E4346" s="3354"/>
      <c r="F4346" s="3354"/>
      <c r="G4346" s="3354"/>
    </row>
    <row r="4347" spans="1:7" x14ac:dyDescent="0.25">
      <c r="A4347" s="11" t="s">
        <v>1031</v>
      </c>
      <c r="B4347" s="11" t="s">
        <v>6069</v>
      </c>
      <c r="C4347" s="3004">
        <v>6</v>
      </c>
      <c r="D4347" s="3004">
        <v>5362139.5929220803</v>
      </c>
      <c r="E4347" s="3005">
        <v>3723563.0719795902</v>
      </c>
      <c r="F4347" s="3006">
        <v>100</v>
      </c>
      <c r="G4347" s="3007">
        <v>0</v>
      </c>
    </row>
    <row r="4348" spans="1:7" x14ac:dyDescent="0.25">
      <c r="A4348" s="6" t="s">
        <v>982</v>
      </c>
      <c r="B4348" s="6" t="s">
        <v>983</v>
      </c>
      <c r="C4348" s="3000">
        <v>19770</v>
      </c>
      <c r="D4348" s="3000">
        <v>5457363074.2931099</v>
      </c>
      <c r="E4348" s="3001">
        <v>73189530.961674795</v>
      </c>
      <c r="F4348" s="3002">
        <v>99.983703951035594</v>
      </c>
      <c r="G4348" s="3003">
        <v>1.6770678512558399E-2</v>
      </c>
    </row>
    <row r="4349" spans="1:7" x14ac:dyDescent="0.25">
      <c r="A4349" s="11" t="s">
        <v>996</v>
      </c>
      <c r="B4349" s="11" t="s">
        <v>997</v>
      </c>
      <c r="C4349" s="3004">
        <v>3</v>
      </c>
      <c r="D4349" s="3004">
        <v>889479.50877044396</v>
      </c>
      <c r="E4349" s="3005">
        <v>915498.89503902395</v>
      </c>
      <c r="F4349" s="3006">
        <v>1.6296048964441701E-2</v>
      </c>
      <c r="G4349" s="3007">
        <v>1.6770678512558701E-2</v>
      </c>
    </row>
    <row r="4350" spans="1:7" x14ac:dyDescent="0.25">
      <c r="A4350" s="6" t="s">
        <v>6293</v>
      </c>
      <c r="B4350" s="6" t="s">
        <v>6294</v>
      </c>
      <c r="C4350" s="3000">
        <v>6</v>
      </c>
      <c r="D4350" s="3000">
        <v>5362139.5929220803</v>
      </c>
      <c r="E4350" s="3001">
        <v>3723563.0719795902</v>
      </c>
      <c r="F4350" s="3002">
        <v>9.8142711260451904E-2</v>
      </c>
      <c r="G4350" s="3003">
        <v>6.8259495297127604E-2</v>
      </c>
    </row>
    <row r="4351" spans="1:7" x14ac:dyDescent="0.25">
      <c r="A4351" s="11" t="s">
        <v>6293</v>
      </c>
      <c r="B4351" s="11" t="s">
        <v>6295</v>
      </c>
      <c r="C4351" s="3004">
        <v>19779</v>
      </c>
      <c r="D4351" s="3004">
        <v>5463614693.3948002</v>
      </c>
      <c r="E4351" s="3005">
        <v>0</v>
      </c>
      <c r="F4351" s="3006">
        <v>100</v>
      </c>
      <c r="G4351" s="3007">
        <v>0</v>
      </c>
    </row>
    <row r="4352" spans="1:7" x14ac:dyDescent="0.25">
      <c r="A4352" s="3353" t="s">
        <v>738</v>
      </c>
      <c r="B4352" s="3354"/>
      <c r="C4352" s="3354"/>
      <c r="D4352" s="3354"/>
      <c r="E4352" s="3354"/>
      <c r="F4352" s="3354"/>
      <c r="G4352" s="3354"/>
    </row>
    <row r="4353" spans="1:7" x14ac:dyDescent="0.25">
      <c r="A4353" s="11" t="s">
        <v>982</v>
      </c>
      <c r="B4353" s="11" t="s">
        <v>983</v>
      </c>
      <c r="C4353" s="3012">
        <v>19776</v>
      </c>
      <c r="D4353" s="3012">
        <v>5462725213.8860302</v>
      </c>
      <c r="E4353" s="3013">
        <v>72538948.047230795</v>
      </c>
      <c r="F4353" s="3014">
        <v>99.983719944419803</v>
      </c>
      <c r="G4353" s="3015">
        <v>1.6754096219557899E-2</v>
      </c>
    </row>
    <row r="4354" spans="1:7" x14ac:dyDescent="0.25">
      <c r="A4354" s="6" t="s">
        <v>996</v>
      </c>
      <c r="B4354" s="6" t="s">
        <v>997</v>
      </c>
      <c r="C4354" s="3008">
        <v>3</v>
      </c>
      <c r="D4354" s="3008">
        <v>889479.50877044396</v>
      </c>
      <c r="E4354" s="3009">
        <v>915498.89503902395</v>
      </c>
      <c r="F4354" s="3010">
        <v>1.62800555801597E-2</v>
      </c>
      <c r="G4354" s="3011">
        <v>1.67540962195592E-2</v>
      </c>
    </row>
    <row r="4355" spans="1:7" x14ac:dyDescent="0.25">
      <c r="A4355" s="11" t="s">
        <v>6293</v>
      </c>
      <c r="B4355" s="11" t="s">
        <v>6294</v>
      </c>
      <c r="C4355" s="3012">
        <v>0</v>
      </c>
      <c r="D4355" s="3012">
        <v>0</v>
      </c>
      <c r="E4355" s="3013">
        <v>0</v>
      </c>
      <c r="F4355" s="3014">
        <v>0</v>
      </c>
      <c r="G4355" s="3015">
        <v>0</v>
      </c>
    </row>
    <row r="4356" spans="1:7" x14ac:dyDescent="0.25">
      <c r="A4356" s="6" t="s">
        <v>6293</v>
      </c>
      <c r="B4356" s="6" t="s">
        <v>6295</v>
      </c>
      <c r="C4356" s="3008">
        <v>19779</v>
      </c>
      <c r="D4356" s="3008">
        <v>5463614693.3948002</v>
      </c>
      <c r="E4356" s="3009">
        <v>0</v>
      </c>
      <c r="F4356" s="3010">
        <v>100</v>
      </c>
      <c r="G4356" s="3011">
        <v>0</v>
      </c>
    </row>
    <row r="4357" spans="1:7" x14ac:dyDescent="0.25">
      <c r="A4357" s="3353" t="s">
        <v>740</v>
      </c>
      <c r="B4357" s="3354"/>
      <c r="C4357" s="3354"/>
      <c r="D4357" s="3354"/>
      <c r="E4357" s="3354"/>
      <c r="F4357" s="3354"/>
      <c r="G4357" s="3354"/>
    </row>
    <row r="4358" spans="1:7" x14ac:dyDescent="0.25">
      <c r="A4358" s="11" t="s">
        <v>1035</v>
      </c>
      <c r="B4358" s="11" t="s">
        <v>3129</v>
      </c>
      <c r="C4358" s="3020">
        <v>8</v>
      </c>
      <c r="D4358" s="3020">
        <v>153800.297030677</v>
      </c>
      <c r="E4358" s="3021">
        <v>115849.715624508</v>
      </c>
      <c r="F4358" s="3022">
        <v>100</v>
      </c>
      <c r="G4358" s="3023">
        <v>0</v>
      </c>
    </row>
    <row r="4359" spans="1:7" x14ac:dyDescent="0.25">
      <c r="A4359" s="6" t="s">
        <v>982</v>
      </c>
      <c r="B4359" s="6" t="s">
        <v>983</v>
      </c>
      <c r="C4359" s="3016">
        <v>19768</v>
      </c>
      <c r="D4359" s="3016">
        <v>5462571413.5889997</v>
      </c>
      <c r="E4359" s="3017">
        <v>72590075.268526703</v>
      </c>
      <c r="F4359" s="3018">
        <v>99.983719486124699</v>
      </c>
      <c r="G4359" s="3019">
        <v>1.67545813077178E-2</v>
      </c>
    </row>
    <row r="4360" spans="1:7" x14ac:dyDescent="0.25">
      <c r="A4360" s="11" t="s">
        <v>996</v>
      </c>
      <c r="B4360" s="11" t="s">
        <v>997</v>
      </c>
      <c r="C4360" s="3020">
        <v>3</v>
      </c>
      <c r="D4360" s="3020">
        <v>889479.50877044396</v>
      </c>
      <c r="E4360" s="3021">
        <v>915498.89503902395</v>
      </c>
      <c r="F4360" s="3022">
        <v>1.6280513875264701E-2</v>
      </c>
      <c r="G4360" s="3023">
        <v>1.6754581307719799E-2</v>
      </c>
    </row>
    <row r="4361" spans="1:7" x14ac:dyDescent="0.25">
      <c r="A4361" s="6" t="s">
        <v>6293</v>
      </c>
      <c r="B4361" s="6" t="s">
        <v>6294</v>
      </c>
      <c r="C4361" s="3016">
        <v>8</v>
      </c>
      <c r="D4361" s="3016">
        <v>153800.297030677</v>
      </c>
      <c r="E4361" s="3017">
        <v>115849.715624508</v>
      </c>
      <c r="F4361" s="3018">
        <v>2.8149916431078701E-3</v>
      </c>
      <c r="G4361" s="3019">
        <v>2.1285495460912E-3</v>
      </c>
    </row>
    <row r="4362" spans="1:7" x14ac:dyDescent="0.25">
      <c r="A4362" s="11" t="s">
        <v>6293</v>
      </c>
      <c r="B4362" s="11" t="s">
        <v>6295</v>
      </c>
      <c r="C4362" s="3020">
        <v>19779</v>
      </c>
      <c r="D4362" s="3020">
        <v>5463614693.3948002</v>
      </c>
      <c r="E4362" s="3021">
        <v>0</v>
      </c>
      <c r="F4362" s="3022">
        <v>100</v>
      </c>
      <c r="G4362" s="3023">
        <v>0</v>
      </c>
    </row>
    <row r="4363" spans="1:7" x14ac:dyDescent="0.25">
      <c r="A4363" s="3353" t="s">
        <v>744</v>
      </c>
      <c r="B4363" s="3354"/>
      <c r="C4363" s="3354"/>
      <c r="D4363" s="3354"/>
      <c r="E4363" s="3354"/>
      <c r="F4363" s="3354"/>
      <c r="G4363" s="3354"/>
    </row>
    <row r="4364" spans="1:7" x14ac:dyDescent="0.25">
      <c r="A4364" s="11" t="s">
        <v>982</v>
      </c>
      <c r="B4364" s="11" t="s">
        <v>983</v>
      </c>
      <c r="C4364" s="3028">
        <v>19776</v>
      </c>
      <c r="D4364" s="3028">
        <v>5462725213.8860302</v>
      </c>
      <c r="E4364" s="3029">
        <v>72538948.047230795</v>
      </c>
      <c r="F4364" s="3030">
        <v>99.983719944419803</v>
      </c>
      <c r="G4364" s="3031">
        <v>1.6754096219557899E-2</v>
      </c>
    </row>
    <row r="4365" spans="1:7" x14ac:dyDescent="0.25">
      <c r="A4365" s="6" t="s">
        <v>996</v>
      </c>
      <c r="B4365" s="6" t="s">
        <v>997</v>
      </c>
      <c r="C4365" s="3024">
        <v>3</v>
      </c>
      <c r="D4365" s="3024">
        <v>889479.50877044396</v>
      </c>
      <c r="E4365" s="3025">
        <v>915498.89503902395</v>
      </c>
      <c r="F4365" s="3026">
        <v>1.62800555801597E-2</v>
      </c>
      <c r="G4365" s="3027">
        <v>1.67540962195592E-2</v>
      </c>
    </row>
    <row r="4366" spans="1:7" x14ac:dyDescent="0.25">
      <c r="A4366" s="11" t="s">
        <v>6293</v>
      </c>
      <c r="B4366" s="11" t="s">
        <v>6294</v>
      </c>
      <c r="C4366" s="3028">
        <v>0</v>
      </c>
      <c r="D4366" s="3028">
        <v>0</v>
      </c>
      <c r="E4366" s="3029">
        <v>0</v>
      </c>
      <c r="F4366" s="3030">
        <v>0</v>
      </c>
      <c r="G4366" s="3031">
        <v>0</v>
      </c>
    </row>
    <row r="4367" spans="1:7" x14ac:dyDescent="0.25">
      <c r="A4367" s="6" t="s">
        <v>6293</v>
      </c>
      <c r="B4367" s="6" t="s">
        <v>6295</v>
      </c>
      <c r="C4367" s="3024">
        <v>19779</v>
      </c>
      <c r="D4367" s="3024">
        <v>5463614693.3948002</v>
      </c>
      <c r="E4367" s="3025">
        <v>0</v>
      </c>
      <c r="F4367" s="3026">
        <v>100</v>
      </c>
      <c r="G4367" s="3027">
        <v>0</v>
      </c>
    </row>
    <row r="4368" spans="1:7" x14ac:dyDescent="0.25">
      <c r="A4368" s="3353" t="s">
        <v>762</v>
      </c>
      <c r="B4368" s="3354"/>
      <c r="C4368" s="3354"/>
      <c r="D4368" s="3354"/>
      <c r="E4368" s="3354"/>
      <c r="F4368" s="3354"/>
      <c r="G4368" s="3354"/>
    </row>
    <row r="4369" spans="1:7" x14ac:dyDescent="0.25">
      <c r="A4369" s="11" t="s">
        <v>1005</v>
      </c>
      <c r="B4369" s="11" t="s">
        <v>1006</v>
      </c>
      <c r="C4369" s="3036">
        <v>5</v>
      </c>
      <c r="D4369" s="3036">
        <v>2022792.6857116099</v>
      </c>
      <c r="E4369" s="3037">
        <v>1946762.11965316</v>
      </c>
      <c r="F4369" s="3038">
        <v>100</v>
      </c>
      <c r="G4369" s="3039">
        <v>0</v>
      </c>
    </row>
    <row r="4370" spans="1:7" x14ac:dyDescent="0.25">
      <c r="A4370" s="6" t="s">
        <v>982</v>
      </c>
      <c r="B4370" s="6" t="s">
        <v>983</v>
      </c>
      <c r="C4370" s="3032">
        <v>19771</v>
      </c>
      <c r="D4370" s="3032">
        <v>5460702421.2003202</v>
      </c>
      <c r="E4370" s="3033">
        <v>72396211.060647398</v>
      </c>
      <c r="F4370" s="3034">
        <v>99.983713914826694</v>
      </c>
      <c r="G4370" s="3035">
        <v>1.67602705251103E-2</v>
      </c>
    </row>
    <row r="4371" spans="1:7" x14ac:dyDescent="0.25">
      <c r="A4371" s="11" t="s">
        <v>996</v>
      </c>
      <c r="B4371" s="11" t="s">
        <v>997</v>
      </c>
      <c r="C4371" s="3036">
        <v>3</v>
      </c>
      <c r="D4371" s="3036">
        <v>889479.50877044396</v>
      </c>
      <c r="E4371" s="3037">
        <v>915498.89503902395</v>
      </c>
      <c r="F4371" s="3038">
        <v>1.6286085173353199E-2</v>
      </c>
      <c r="G4371" s="3039">
        <v>1.6760270525111299E-2</v>
      </c>
    </row>
    <row r="4372" spans="1:7" x14ac:dyDescent="0.25">
      <c r="A4372" s="6" t="s">
        <v>6293</v>
      </c>
      <c r="B4372" s="6" t="s">
        <v>6294</v>
      </c>
      <c r="C4372" s="3032">
        <v>5</v>
      </c>
      <c r="D4372" s="3032">
        <v>2022792.6857116099</v>
      </c>
      <c r="E4372" s="3033">
        <v>1946762.11965316</v>
      </c>
      <c r="F4372" s="3034">
        <v>3.7022974701291698E-2</v>
      </c>
      <c r="G4372" s="3035">
        <v>3.5550537737182503E-2</v>
      </c>
    </row>
    <row r="4373" spans="1:7" x14ac:dyDescent="0.25">
      <c r="A4373" s="11" t="s">
        <v>6293</v>
      </c>
      <c r="B4373" s="11" t="s">
        <v>6295</v>
      </c>
      <c r="C4373" s="3036">
        <v>19779</v>
      </c>
      <c r="D4373" s="3036">
        <v>5463614693.3948002</v>
      </c>
      <c r="E4373" s="3037">
        <v>0</v>
      </c>
      <c r="F4373" s="3038">
        <v>100</v>
      </c>
      <c r="G4373" s="3039">
        <v>0</v>
      </c>
    </row>
    <row r="4374" spans="1:7" x14ac:dyDescent="0.25">
      <c r="A4374" s="3353" t="s">
        <v>760</v>
      </c>
      <c r="B4374" s="3354"/>
      <c r="C4374" s="3354"/>
      <c r="D4374" s="3354"/>
      <c r="E4374" s="3354"/>
      <c r="F4374" s="3354"/>
      <c r="G4374" s="3354"/>
    </row>
    <row r="4375" spans="1:7" x14ac:dyDescent="0.25">
      <c r="A4375" s="11" t="s">
        <v>982</v>
      </c>
      <c r="B4375" s="11" t="s">
        <v>983</v>
      </c>
      <c r="C4375" s="3044">
        <v>19776</v>
      </c>
      <c r="D4375" s="3044">
        <v>5462725213.8860302</v>
      </c>
      <c r="E4375" s="3045">
        <v>72538948.047230795</v>
      </c>
      <c r="F4375" s="3046">
        <v>99.983719944419803</v>
      </c>
      <c r="G4375" s="3047">
        <v>1.6754096219557899E-2</v>
      </c>
    </row>
    <row r="4376" spans="1:7" x14ac:dyDescent="0.25">
      <c r="A4376" s="6" t="s">
        <v>996</v>
      </c>
      <c r="B4376" s="6" t="s">
        <v>997</v>
      </c>
      <c r="C4376" s="3040">
        <v>3</v>
      </c>
      <c r="D4376" s="3040">
        <v>889479.50877044396</v>
      </c>
      <c r="E4376" s="3041">
        <v>915498.89503902395</v>
      </c>
      <c r="F4376" s="3042">
        <v>1.62800555801597E-2</v>
      </c>
      <c r="G4376" s="3043">
        <v>1.67540962195592E-2</v>
      </c>
    </row>
    <row r="4377" spans="1:7" x14ac:dyDescent="0.25">
      <c r="A4377" s="11" t="s">
        <v>6293</v>
      </c>
      <c r="B4377" s="11" t="s">
        <v>6294</v>
      </c>
      <c r="C4377" s="3044">
        <v>0</v>
      </c>
      <c r="D4377" s="3044">
        <v>0</v>
      </c>
      <c r="E4377" s="3045">
        <v>0</v>
      </c>
      <c r="F4377" s="3046">
        <v>0</v>
      </c>
      <c r="G4377" s="3047">
        <v>0</v>
      </c>
    </row>
    <row r="4378" spans="1:7" x14ac:dyDescent="0.25">
      <c r="A4378" s="6" t="s">
        <v>6293</v>
      </c>
      <c r="B4378" s="6" t="s">
        <v>6295</v>
      </c>
      <c r="C4378" s="3040">
        <v>19779</v>
      </c>
      <c r="D4378" s="3040">
        <v>5463614693.3948002</v>
      </c>
      <c r="E4378" s="3041">
        <v>0</v>
      </c>
      <c r="F4378" s="3042">
        <v>100</v>
      </c>
      <c r="G4378" s="3043">
        <v>0</v>
      </c>
    </row>
    <row r="4379" spans="1:7" x14ac:dyDescent="0.25">
      <c r="A4379" s="3353" t="s">
        <v>764</v>
      </c>
      <c r="B4379" s="3354"/>
      <c r="C4379" s="3354"/>
      <c r="D4379" s="3354"/>
      <c r="E4379" s="3354"/>
      <c r="F4379" s="3354"/>
      <c r="G4379" s="3354"/>
    </row>
    <row r="4380" spans="1:7" x14ac:dyDescent="0.25">
      <c r="A4380" s="11" t="s">
        <v>982</v>
      </c>
      <c r="B4380" s="11" t="s">
        <v>983</v>
      </c>
      <c r="C4380" s="3052">
        <v>19775</v>
      </c>
      <c r="D4380" s="3052">
        <v>5462725213.8860302</v>
      </c>
      <c r="E4380" s="3053">
        <v>72538948.047230795</v>
      </c>
      <c r="F4380" s="3054">
        <v>99.983719944419803</v>
      </c>
      <c r="G4380" s="3055">
        <v>1.6754096219557899E-2</v>
      </c>
    </row>
    <row r="4381" spans="1:7" x14ac:dyDescent="0.25">
      <c r="A4381" s="6" t="s">
        <v>996</v>
      </c>
      <c r="B4381" s="6" t="s">
        <v>997</v>
      </c>
      <c r="C4381" s="3048">
        <v>3</v>
      </c>
      <c r="D4381" s="3048">
        <v>889479.50877044396</v>
      </c>
      <c r="E4381" s="3049">
        <v>915498.89503902395</v>
      </c>
      <c r="F4381" s="3050">
        <v>1.62800555801597E-2</v>
      </c>
      <c r="G4381" s="3051">
        <v>1.67540962195592E-2</v>
      </c>
    </row>
    <row r="4382" spans="1:7" x14ac:dyDescent="0.25">
      <c r="A4382" s="11" t="s">
        <v>6293</v>
      </c>
      <c r="B4382" s="11" t="s">
        <v>6294</v>
      </c>
      <c r="C4382" s="3052">
        <v>0</v>
      </c>
      <c r="D4382" s="3052">
        <v>0</v>
      </c>
      <c r="E4382" s="3053">
        <v>0</v>
      </c>
      <c r="F4382" s="3054">
        <v>0</v>
      </c>
      <c r="G4382" s="3055">
        <v>0</v>
      </c>
    </row>
    <row r="4383" spans="1:7" x14ac:dyDescent="0.25">
      <c r="A4383" s="6" t="s">
        <v>6293</v>
      </c>
      <c r="B4383" s="6" t="s">
        <v>6295</v>
      </c>
      <c r="C4383" s="3048">
        <v>19778</v>
      </c>
      <c r="D4383" s="3048">
        <v>5463614693.3948002</v>
      </c>
      <c r="E4383" s="3049">
        <v>0</v>
      </c>
      <c r="F4383" s="3050">
        <v>100</v>
      </c>
      <c r="G4383" s="3051">
        <v>0</v>
      </c>
    </row>
    <row r="4384" spans="1:7" x14ac:dyDescent="0.25">
      <c r="A4384" s="3353" t="s">
        <v>275</v>
      </c>
      <c r="B4384" s="3354"/>
      <c r="C4384" s="3354"/>
      <c r="D4384" s="3354"/>
      <c r="E4384" s="3354"/>
      <c r="F4384" s="3354"/>
      <c r="G4384" s="3354"/>
    </row>
    <row r="4385" spans="1:7" x14ac:dyDescent="0.25">
      <c r="A4385" s="11" t="s">
        <v>6731</v>
      </c>
      <c r="B4385" s="11"/>
      <c r="C4385" s="3060">
        <v>5</v>
      </c>
      <c r="D4385" s="3060">
        <v>2022792.6857116099</v>
      </c>
      <c r="E4385" s="3061">
        <v>1946762.11965316</v>
      </c>
      <c r="F4385" s="3062">
        <v>100</v>
      </c>
      <c r="G4385" s="3063">
        <v>0</v>
      </c>
    </row>
    <row r="4386" spans="1:7" x14ac:dyDescent="0.25">
      <c r="A4386" s="6" t="s">
        <v>982</v>
      </c>
      <c r="B4386" s="6" t="s">
        <v>983</v>
      </c>
      <c r="C4386" s="3056">
        <v>19774</v>
      </c>
      <c r="D4386" s="3056">
        <v>5461591900.7090902</v>
      </c>
      <c r="E4386" s="3057">
        <v>72431270.459387496</v>
      </c>
      <c r="F4386" s="3058">
        <v>100</v>
      </c>
      <c r="G4386" s="3059">
        <v>0</v>
      </c>
    </row>
    <row r="4387" spans="1:7" x14ac:dyDescent="0.25">
      <c r="A4387" s="11" t="s">
        <v>6293</v>
      </c>
      <c r="B4387" s="11" t="s">
        <v>6294</v>
      </c>
      <c r="C4387" s="3060">
        <v>5</v>
      </c>
      <c r="D4387" s="3060">
        <v>2022792.6857116099</v>
      </c>
      <c r="E4387" s="3061">
        <v>1946762.11965316</v>
      </c>
      <c r="F4387" s="3062">
        <v>3.7022974701291698E-2</v>
      </c>
      <c r="G4387" s="3063">
        <v>3.5550537737182503E-2</v>
      </c>
    </row>
    <row r="4388" spans="1:7" x14ac:dyDescent="0.25">
      <c r="A4388" s="6" t="s">
        <v>6293</v>
      </c>
      <c r="B4388" s="6" t="s">
        <v>6295</v>
      </c>
      <c r="C4388" s="3056">
        <v>19779</v>
      </c>
      <c r="D4388" s="3056">
        <v>5463614693.3948002</v>
      </c>
      <c r="E4388" s="3057">
        <v>0</v>
      </c>
      <c r="F4388" s="3058">
        <v>100</v>
      </c>
      <c r="G4388" s="3059">
        <v>0</v>
      </c>
    </row>
    <row r="4389" spans="1:7" x14ac:dyDescent="0.25">
      <c r="A4389" s="3353" t="s">
        <v>451</v>
      </c>
      <c r="B4389" s="3354"/>
      <c r="C4389" s="3354"/>
      <c r="D4389" s="3354"/>
      <c r="E4389" s="3354"/>
      <c r="F4389" s="3354"/>
      <c r="G4389" s="3354"/>
    </row>
    <row r="4390" spans="1:7" x14ac:dyDescent="0.25">
      <c r="A4390" s="11" t="s">
        <v>984</v>
      </c>
      <c r="B4390" s="11" t="s">
        <v>1061</v>
      </c>
      <c r="C4390" s="3068">
        <v>14866</v>
      </c>
      <c r="D4390" s="3068">
        <v>3549580449.39182</v>
      </c>
      <c r="E4390" s="3069">
        <v>86093824.262126401</v>
      </c>
      <c r="F4390" s="3070">
        <v>64.967620313398399</v>
      </c>
      <c r="G4390" s="3071">
        <v>1.54982597335075</v>
      </c>
    </row>
    <row r="4391" spans="1:7" x14ac:dyDescent="0.25">
      <c r="A4391" s="6" t="s">
        <v>986</v>
      </c>
      <c r="B4391" s="6" t="s">
        <v>1062</v>
      </c>
      <c r="C4391" s="3064">
        <v>4913</v>
      </c>
      <c r="D4391" s="3064">
        <v>1914034244.0030501</v>
      </c>
      <c r="E4391" s="3065">
        <v>94429794.852250502</v>
      </c>
      <c r="F4391" s="3066">
        <v>35.032379686601601</v>
      </c>
      <c r="G4391" s="3067">
        <v>1.54982597335074</v>
      </c>
    </row>
    <row r="4392" spans="1:7" x14ac:dyDescent="0.25">
      <c r="A4392" s="11" t="s">
        <v>6293</v>
      </c>
      <c r="B4392" s="11" t="s">
        <v>6294</v>
      </c>
      <c r="C4392" s="3068">
        <v>19779</v>
      </c>
      <c r="D4392" s="3068">
        <v>5463614693.3948698</v>
      </c>
      <c r="E4392" s="3069">
        <v>72575038.820906401</v>
      </c>
      <c r="F4392" s="3070">
        <v>100</v>
      </c>
      <c r="G4392" s="3071">
        <v>2.29838001744816E-14</v>
      </c>
    </row>
    <row r="4393" spans="1:7" x14ac:dyDescent="0.25">
      <c r="A4393" s="6" t="s">
        <v>6293</v>
      </c>
      <c r="B4393" s="6" t="s">
        <v>6295</v>
      </c>
      <c r="C4393" s="3064">
        <v>19779</v>
      </c>
      <c r="D4393" s="3064">
        <v>5463614693.3948698</v>
      </c>
      <c r="E4393" s="3065">
        <v>0</v>
      </c>
      <c r="F4393" s="3066">
        <v>100</v>
      </c>
      <c r="G4393" s="3067">
        <v>0</v>
      </c>
    </row>
    <row r="4394" spans="1:7" x14ac:dyDescent="0.25">
      <c r="A4394" s="3353" t="s">
        <v>465</v>
      </c>
      <c r="B4394" s="3354"/>
      <c r="C4394" s="3354"/>
      <c r="D4394" s="3354"/>
      <c r="E4394" s="3354"/>
      <c r="F4394" s="3354"/>
      <c r="G4394" s="3354"/>
    </row>
    <row r="4395" spans="1:7" x14ac:dyDescent="0.25">
      <c r="A4395" s="11" t="s">
        <v>986</v>
      </c>
      <c r="B4395" s="11" t="s">
        <v>1062</v>
      </c>
      <c r="C4395" s="3076">
        <v>6706</v>
      </c>
      <c r="D4395" s="3076">
        <v>2415628880.8674402</v>
      </c>
      <c r="E4395" s="3077">
        <v>96747865.021349296</v>
      </c>
      <c r="F4395" s="3078">
        <v>50.252752954258</v>
      </c>
      <c r="G4395" s="3079">
        <v>2.0166561282412698</v>
      </c>
    </row>
    <row r="4396" spans="1:7" x14ac:dyDescent="0.25">
      <c r="A4396" s="6" t="s">
        <v>984</v>
      </c>
      <c r="B4396" s="6" t="s">
        <v>1061</v>
      </c>
      <c r="C4396" s="3072">
        <v>9475</v>
      </c>
      <c r="D4396" s="3072">
        <v>2391329422.6234002</v>
      </c>
      <c r="E4396" s="3073">
        <v>110277585.830906</v>
      </c>
      <c r="F4396" s="3074">
        <v>49.747247045742</v>
      </c>
      <c r="G4396" s="3075">
        <v>2.0166561282412601</v>
      </c>
    </row>
    <row r="4397" spans="1:7" x14ac:dyDescent="0.25">
      <c r="A4397" s="11" t="s">
        <v>982</v>
      </c>
      <c r="B4397" s="11" t="s">
        <v>983</v>
      </c>
      <c r="C4397" s="3076">
        <v>3598</v>
      </c>
      <c r="D4397" s="3076">
        <v>656656389.90404201</v>
      </c>
      <c r="E4397" s="3077">
        <v>47750128.823081203</v>
      </c>
      <c r="F4397" s="3078">
        <v>100</v>
      </c>
      <c r="G4397" s="3079">
        <v>0</v>
      </c>
    </row>
    <row r="4398" spans="1:7" x14ac:dyDescent="0.25">
      <c r="A4398" s="6" t="s">
        <v>6293</v>
      </c>
      <c r="B4398" s="6" t="s">
        <v>6294</v>
      </c>
      <c r="C4398" s="3072">
        <v>16181</v>
      </c>
      <c r="D4398" s="3072">
        <v>4806958303.49084</v>
      </c>
      <c r="E4398" s="3073">
        <v>74928232.504265502</v>
      </c>
      <c r="F4398" s="3074">
        <v>87.981282964593106</v>
      </c>
      <c r="G4398" s="3075">
        <v>0.84315714199764202</v>
      </c>
    </row>
    <row r="4399" spans="1:7" x14ac:dyDescent="0.25">
      <c r="A4399" s="11" t="s">
        <v>6293</v>
      </c>
      <c r="B4399" s="11" t="s">
        <v>6295</v>
      </c>
      <c r="C4399" s="3076">
        <v>19779</v>
      </c>
      <c r="D4399" s="3076">
        <v>5463614693.3948803</v>
      </c>
      <c r="E4399" s="3077">
        <v>0</v>
      </c>
      <c r="F4399" s="3078">
        <v>100</v>
      </c>
      <c r="G4399" s="3079">
        <v>0</v>
      </c>
    </row>
    <row r="4400" spans="1:7" x14ac:dyDescent="0.25">
      <c r="A4400" s="3353" t="s">
        <v>467</v>
      </c>
      <c r="B4400" s="3354"/>
      <c r="C4400" s="3354"/>
      <c r="D4400" s="3354"/>
      <c r="E4400" s="3354"/>
      <c r="F4400" s="3354"/>
      <c r="G4400" s="3354"/>
    </row>
    <row r="4401" spans="1:7" x14ac:dyDescent="0.25">
      <c r="A4401" s="11" t="s">
        <v>986</v>
      </c>
      <c r="B4401" s="11" t="s">
        <v>1062</v>
      </c>
      <c r="C4401" s="3084">
        <v>3613</v>
      </c>
      <c r="D4401" s="3084">
        <v>1757050247.69293</v>
      </c>
      <c r="E4401" s="3085">
        <v>88574013.495591596</v>
      </c>
      <c r="F4401" s="3086">
        <v>55.770950242437003</v>
      </c>
      <c r="G4401" s="3087">
        <v>1.8553591910336</v>
      </c>
    </row>
    <row r="4402" spans="1:7" x14ac:dyDescent="0.25">
      <c r="A4402" s="6" t="s">
        <v>984</v>
      </c>
      <c r="B4402" s="6" t="s">
        <v>1061</v>
      </c>
      <c r="C4402" s="3080">
        <v>2927</v>
      </c>
      <c r="D4402" s="3080">
        <v>1393425474.98171</v>
      </c>
      <c r="E4402" s="3081">
        <v>67653605.623963997</v>
      </c>
      <c r="F4402" s="3082">
        <v>44.229049757562898</v>
      </c>
      <c r="G4402" s="3083">
        <v>1.85535919103359</v>
      </c>
    </row>
    <row r="4403" spans="1:7" x14ac:dyDescent="0.25">
      <c r="A4403" s="11" t="s">
        <v>982</v>
      </c>
      <c r="B4403" s="11" t="s">
        <v>983</v>
      </c>
      <c r="C4403" s="3084">
        <v>13239</v>
      </c>
      <c r="D4403" s="3084">
        <v>2313138970.7202101</v>
      </c>
      <c r="E4403" s="3085">
        <v>124322473.188353</v>
      </c>
      <c r="F4403" s="3086">
        <v>100</v>
      </c>
      <c r="G4403" s="3087">
        <v>0</v>
      </c>
    </row>
    <row r="4404" spans="1:7" x14ac:dyDescent="0.25">
      <c r="A4404" s="6" t="s">
        <v>6293</v>
      </c>
      <c r="B4404" s="6" t="s">
        <v>6294</v>
      </c>
      <c r="C4404" s="3080">
        <v>6540</v>
      </c>
      <c r="D4404" s="3080">
        <v>3150475722.6746402</v>
      </c>
      <c r="E4404" s="3081">
        <v>103429149.022159</v>
      </c>
      <c r="F4404" s="3082">
        <v>57.662845926586897</v>
      </c>
      <c r="G4404" s="3083">
        <v>2.0192222703535498</v>
      </c>
    </row>
    <row r="4405" spans="1:7" x14ac:dyDescent="0.25">
      <c r="A4405" s="11" t="s">
        <v>6293</v>
      </c>
      <c r="B4405" s="11" t="s">
        <v>6295</v>
      </c>
      <c r="C4405" s="3084">
        <v>19779</v>
      </c>
      <c r="D4405" s="3084">
        <v>5463614693.3948498</v>
      </c>
      <c r="E4405" s="3085">
        <v>0</v>
      </c>
      <c r="F4405" s="3086">
        <v>100</v>
      </c>
      <c r="G4405" s="3087">
        <v>0</v>
      </c>
    </row>
    <row r="4406" spans="1:7" x14ac:dyDescent="0.25">
      <c r="A4406" s="3353" t="s">
        <v>469</v>
      </c>
      <c r="B4406" s="3354"/>
      <c r="C4406" s="3354"/>
      <c r="D4406" s="3354"/>
      <c r="E4406" s="3354"/>
      <c r="F4406" s="3354"/>
      <c r="G4406" s="3354"/>
    </row>
    <row r="4407" spans="1:7" x14ac:dyDescent="0.25">
      <c r="A4407" s="11" t="s">
        <v>986</v>
      </c>
      <c r="B4407" s="11" t="s">
        <v>1062</v>
      </c>
      <c r="C4407" s="3092">
        <v>2250</v>
      </c>
      <c r="D4407" s="3092">
        <v>1237346088.1603701</v>
      </c>
      <c r="E4407" s="3093">
        <v>77762198.942090899</v>
      </c>
      <c r="F4407" s="3094">
        <v>55.436031840793603</v>
      </c>
      <c r="G4407" s="3095">
        <v>3.0867682465742301</v>
      </c>
    </row>
    <row r="4408" spans="1:7" x14ac:dyDescent="0.25">
      <c r="A4408" s="6" t="s">
        <v>984</v>
      </c>
      <c r="B4408" s="6" t="s">
        <v>1061</v>
      </c>
      <c r="C4408" s="3088">
        <v>1959</v>
      </c>
      <c r="D4408" s="3088">
        <v>994678909.07228506</v>
      </c>
      <c r="E4408" s="3089">
        <v>97575718.345863402</v>
      </c>
      <c r="F4408" s="3090">
        <v>44.563968159206397</v>
      </c>
      <c r="G4408" s="3091">
        <v>3.0867682465742301</v>
      </c>
    </row>
    <row r="4409" spans="1:7" x14ac:dyDescent="0.25">
      <c r="A4409" s="11" t="s">
        <v>982</v>
      </c>
      <c r="B4409" s="11" t="s">
        <v>983</v>
      </c>
      <c r="C4409" s="3092">
        <v>15570</v>
      </c>
      <c r="D4409" s="3092">
        <v>3231589696.16221</v>
      </c>
      <c r="E4409" s="3093">
        <v>135804302.195851</v>
      </c>
      <c r="F4409" s="3094">
        <v>100</v>
      </c>
      <c r="G4409" s="3095">
        <v>0</v>
      </c>
    </row>
    <row r="4410" spans="1:7" x14ac:dyDescent="0.25">
      <c r="A4410" s="6" t="s">
        <v>6293</v>
      </c>
      <c r="B4410" s="6" t="s">
        <v>6294</v>
      </c>
      <c r="C4410" s="3088">
        <v>4209</v>
      </c>
      <c r="D4410" s="3088">
        <v>2232024997.2326498</v>
      </c>
      <c r="E4410" s="3089">
        <v>113426621.92484701</v>
      </c>
      <c r="F4410" s="3090">
        <v>40.852533029662901</v>
      </c>
      <c r="G4410" s="3091">
        <v>2.1559479935697001</v>
      </c>
    </row>
    <row r="4411" spans="1:7" x14ac:dyDescent="0.25">
      <c r="A4411" s="11" t="s">
        <v>6293</v>
      </c>
      <c r="B4411" s="11" t="s">
        <v>6295</v>
      </c>
      <c r="C4411" s="3092">
        <v>19779</v>
      </c>
      <c r="D4411" s="3092">
        <v>5463614693.3948603</v>
      </c>
      <c r="E4411" s="3093">
        <v>0</v>
      </c>
      <c r="F4411" s="3094">
        <v>100</v>
      </c>
      <c r="G4411" s="3095">
        <v>0</v>
      </c>
    </row>
    <row r="4412" spans="1:7" x14ac:dyDescent="0.25">
      <c r="A4412" s="3353" t="s">
        <v>471</v>
      </c>
      <c r="B4412" s="3354"/>
      <c r="C4412" s="3354"/>
      <c r="D4412" s="3354"/>
      <c r="E4412" s="3354"/>
      <c r="F4412" s="3354"/>
      <c r="G4412" s="3354"/>
    </row>
    <row r="4413" spans="1:7" x14ac:dyDescent="0.25">
      <c r="A4413" s="11" t="s">
        <v>986</v>
      </c>
      <c r="B4413" s="11" t="s">
        <v>1062</v>
      </c>
      <c r="C4413" s="3100">
        <v>1006</v>
      </c>
      <c r="D4413" s="3100">
        <v>484985062.85928601</v>
      </c>
      <c r="E4413" s="3101">
        <v>93789413.560825005</v>
      </c>
      <c r="F4413" s="3102">
        <v>57.100108837915599</v>
      </c>
      <c r="G4413" s="3103">
        <v>6.3194112112406504</v>
      </c>
    </row>
    <row r="4414" spans="1:7" x14ac:dyDescent="0.25">
      <c r="A4414" s="6" t="s">
        <v>984</v>
      </c>
      <c r="B4414" s="6" t="s">
        <v>1061</v>
      </c>
      <c r="C4414" s="3096">
        <v>741</v>
      </c>
      <c r="D4414" s="3096">
        <v>364374198.84714198</v>
      </c>
      <c r="E4414" s="3097">
        <v>67157015.357446998</v>
      </c>
      <c r="F4414" s="3098">
        <v>42.899891162084501</v>
      </c>
      <c r="G4414" s="3099">
        <v>6.3194112112406398</v>
      </c>
    </row>
    <row r="4415" spans="1:7" x14ac:dyDescent="0.25">
      <c r="A4415" s="11" t="s">
        <v>982</v>
      </c>
      <c r="B4415" s="11" t="s">
        <v>983</v>
      </c>
      <c r="C4415" s="3100">
        <v>18032</v>
      </c>
      <c r="D4415" s="3100">
        <v>4614255431.6883698</v>
      </c>
      <c r="E4415" s="3101">
        <v>130741024.761268</v>
      </c>
      <c r="F4415" s="3102">
        <v>100</v>
      </c>
      <c r="G4415" s="3103">
        <v>0</v>
      </c>
    </row>
    <row r="4416" spans="1:7" x14ac:dyDescent="0.25">
      <c r="A4416" s="6" t="s">
        <v>6293</v>
      </c>
      <c r="B4416" s="6" t="s">
        <v>6294</v>
      </c>
      <c r="C4416" s="3096">
        <v>1747</v>
      </c>
      <c r="D4416" s="3096">
        <v>849359261.70642805</v>
      </c>
      <c r="E4416" s="3097">
        <v>120409887.343336</v>
      </c>
      <c r="F4416" s="3098">
        <v>15.5457386614992</v>
      </c>
      <c r="G4416" s="3099">
        <v>2.1817085744567701</v>
      </c>
    </row>
    <row r="4417" spans="1:7" x14ac:dyDescent="0.25">
      <c r="A4417" s="11" t="s">
        <v>6293</v>
      </c>
      <c r="B4417" s="11" t="s">
        <v>6295</v>
      </c>
      <c r="C4417" s="3100">
        <v>19779</v>
      </c>
      <c r="D4417" s="3100">
        <v>5463614693.3948002</v>
      </c>
      <c r="E4417" s="3101">
        <v>0</v>
      </c>
      <c r="F4417" s="3102">
        <v>100</v>
      </c>
      <c r="G4417" s="3103">
        <v>0</v>
      </c>
    </row>
    <row r="4418" spans="1:7" x14ac:dyDescent="0.25">
      <c r="A4418" s="3353" t="s">
        <v>473</v>
      </c>
      <c r="B4418" s="3354"/>
      <c r="C4418" s="3354"/>
      <c r="D4418" s="3354"/>
      <c r="E4418" s="3354"/>
      <c r="F4418" s="3354"/>
      <c r="G4418" s="3354"/>
    </row>
    <row r="4419" spans="1:7" x14ac:dyDescent="0.25">
      <c r="A4419" s="11" t="s">
        <v>986</v>
      </c>
      <c r="B4419" s="11" t="s">
        <v>1062</v>
      </c>
      <c r="C4419" s="3108">
        <v>390</v>
      </c>
      <c r="D4419" s="3108">
        <v>203312675.66508499</v>
      </c>
      <c r="E4419" s="3109">
        <v>73592235.013441205</v>
      </c>
      <c r="F4419" s="3110">
        <v>70.334273432743402</v>
      </c>
      <c r="G4419" s="3111">
        <v>15.3331014851003</v>
      </c>
    </row>
    <row r="4420" spans="1:7" x14ac:dyDescent="0.25">
      <c r="A4420" s="6" t="s">
        <v>984</v>
      </c>
      <c r="B4420" s="6" t="s">
        <v>1061</v>
      </c>
      <c r="C4420" s="3104">
        <v>256</v>
      </c>
      <c r="D4420" s="3104">
        <v>85753615.549967095</v>
      </c>
      <c r="E4420" s="3105">
        <v>45320540.774996102</v>
      </c>
      <c r="F4420" s="3106">
        <v>29.665726567256598</v>
      </c>
      <c r="G4420" s="3107">
        <v>15.3331014851003</v>
      </c>
    </row>
    <row r="4421" spans="1:7" x14ac:dyDescent="0.25">
      <c r="A4421" s="11" t="s">
        <v>982</v>
      </c>
      <c r="B4421" s="11" t="s">
        <v>983</v>
      </c>
      <c r="C4421" s="3108">
        <v>19133</v>
      </c>
      <c r="D4421" s="3108">
        <v>5174548402.1797504</v>
      </c>
      <c r="E4421" s="3109">
        <v>83496379.279501706</v>
      </c>
      <c r="F4421" s="3110">
        <v>100</v>
      </c>
      <c r="G4421" s="3111">
        <v>0</v>
      </c>
    </row>
    <row r="4422" spans="1:7" x14ac:dyDescent="0.25">
      <c r="A4422" s="6" t="s">
        <v>6293</v>
      </c>
      <c r="B4422" s="6" t="s">
        <v>6294</v>
      </c>
      <c r="C4422" s="3104">
        <v>646</v>
      </c>
      <c r="D4422" s="3104">
        <v>289066291.21505201</v>
      </c>
      <c r="E4422" s="3105">
        <v>89439360.012835801</v>
      </c>
      <c r="F4422" s="3106">
        <v>5.2907517721649802</v>
      </c>
      <c r="G4422" s="3107">
        <v>1.6030535659307501</v>
      </c>
    </row>
    <row r="4423" spans="1:7" x14ac:dyDescent="0.25">
      <c r="A4423" s="11" t="s">
        <v>6293</v>
      </c>
      <c r="B4423" s="11" t="s">
        <v>6295</v>
      </c>
      <c r="C4423" s="3108">
        <v>19779</v>
      </c>
      <c r="D4423" s="3108">
        <v>5463614693.3948002</v>
      </c>
      <c r="E4423" s="3109">
        <v>0</v>
      </c>
      <c r="F4423" s="3110">
        <v>100</v>
      </c>
      <c r="G4423" s="3111">
        <v>0</v>
      </c>
    </row>
    <row r="4424" spans="1:7" x14ac:dyDescent="0.25">
      <c r="A4424" s="3353" t="s">
        <v>475</v>
      </c>
      <c r="B4424" s="3354"/>
      <c r="C4424" s="3354"/>
      <c r="D4424" s="3354"/>
      <c r="E4424" s="3354"/>
      <c r="F4424" s="3354"/>
      <c r="G4424" s="3354"/>
    </row>
    <row r="4425" spans="1:7" x14ac:dyDescent="0.25">
      <c r="A4425" s="11" t="s">
        <v>986</v>
      </c>
      <c r="B4425" s="11" t="s">
        <v>1062</v>
      </c>
      <c r="C4425" s="3116">
        <v>159</v>
      </c>
      <c r="D4425" s="3116">
        <v>90802542.916801706</v>
      </c>
      <c r="E4425" s="3117">
        <v>31097183.382913399</v>
      </c>
      <c r="F4425" s="3118">
        <v>66.473981425280897</v>
      </c>
      <c r="G4425" s="3119">
        <v>5.5562591738902496</v>
      </c>
    </row>
    <row r="4426" spans="1:7" x14ac:dyDescent="0.25">
      <c r="A4426" s="6" t="s">
        <v>984</v>
      </c>
      <c r="B4426" s="6" t="s">
        <v>1061</v>
      </c>
      <c r="C4426" s="3112">
        <v>95</v>
      </c>
      <c r="D4426" s="3112">
        <v>45796079.536506496</v>
      </c>
      <c r="E4426" s="3113">
        <v>19591417.332653798</v>
      </c>
      <c r="F4426" s="3114">
        <v>33.526018574719103</v>
      </c>
      <c r="G4426" s="3115">
        <v>5.5562591738902398</v>
      </c>
    </row>
    <row r="4427" spans="1:7" x14ac:dyDescent="0.25">
      <c r="A4427" s="11" t="s">
        <v>982</v>
      </c>
      <c r="B4427" s="11" t="s">
        <v>983</v>
      </c>
      <c r="C4427" s="3116">
        <v>19525</v>
      </c>
      <c r="D4427" s="3116">
        <v>5327016070.9414797</v>
      </c>
      <c r="E4427" s="3117">
        <v>77975934.516819701</v>
      </c>
      <c r="F4427" s="3118">
        <v>100</v>
      </c>
      <c r="G4427" s="3119">
        <v>0</v>
      </c>
    </row>
    <row r="4428" spans="1:7" x14ac:dyDescent="0.25">
      <c r="A4428" s="6" t="s">
        <v>6293</v>
      </c>
      <c r="B4428" s="6" t="s">
        <v>6294</v>
      </c>
      <c r="C4428" s="3112">
        <v>254</v>
      </c>
      <c r="D4428" s="3112">
        <v>136598622.45330799</v>
      </c>
      <c r="E4428" s="3113">
        <v>48594370.515945598</v>
      </c>
      <c r="F4428" s="3114">
        <v>2.5001510926172799</v>
      </c>
      <c r="G4428" s="3115">
        <v>0.88224458878388701</v>
      </c>
    </row>
    <row r="4429" spans="1:7" x14ac:dyDescent="0.25">
      <c r="A4429" s="11" t="s">
        <v>6293</v>
      </c>
      <c r="B4429" s="11" t="s">
        <v>6295</v>
      </c>
      <c r="C4429" s="3116">
        <v>19779</v>
      </c>
      <c r="D4429" s="3116">
        <v>5463614693.3947897</v>
      </c>
      <c r="E4429" s="3117">
        <v>0</v>
      </c>
      <c r="F4429" s="3118">
        <v>100</v>
      </c>
      <c r="G4429" s="3119">
        <v>0</v>
      </c>
    </row>
    <row r="4430" spans="1:7" x14ac:dyDescent="0.25">
      <c r="A4430" s="3353" t="s">
        <v>477</v>
      </c>
      <c r="B4430" s="3354"/>
      <c r="C4430" s="3354"/>
      <c r="D4430" s="3354"/>
      <c r="E4430" s="3354"/>
      <c r="F4430" s="3354"/>
      <c r="G4430" s="3354"/>
    </row>
    <row r="4431" spans="1:7" x14ac:dyDescent="0.25">
      <c r="A4431" s="11" t="s">
        <v>986</v>
      </c>
      <c r="B4431" s="11" t="s">
        <v>1062</v>
      </c>
      <c r="C4431" s="3124">
        <v>65</v>
      </c>
      <c r="D4431" s="3124">
        <v>9825463.0584728308</v>
      </c>
      <c r="E4431" s="3125">
        <v>5695545.85944854</v>
      </c>
      <c r="F4431" s="3126">
        <v>60.577549463947904</v>
      </c>
      <c r="G4431" s="3127">
        <v>19.792875597365398</v>
      </c>
    </row>
    <row r="4432" spans="1:7" x14ac:dyDescent="0.25">
      <c r="A4432" s="6" t="s">
        <v>984</v>
      </c>
      <c r="B4432" s="6" t="s">
        <v>1061</v>
      </c>
      <c r="C4432" s="3120">
        <v>58</v>
      </c>
      <c r="D4432" s="3120">
        <v>6394181.2576452196</v>
      </c>
      <c r="E4432" s="3121">
        <v>4487674.7877209103</v>
      </c>
      <c r="F4432" s="3122">
        <v>39.422450536052096</v>
      </c>
      <c r="G4432" s="3123">
        <v>19.792875597365502</v>
      </c>
    </row>
    <row r="4433" spans="1:7" x14ac:dyDescent="0.25">
      <c r="A4433" s="11" t="s">
        <v>982</v>
      </c>
      <c r="B4433" s="11" t="s">
        <v>983</v>
      </c>
      <c r="C4433" s="3124">
        <v>19656</v>
      </c>
      <c r="D4433" s="3124">
        <v>5447395049.07868</v>
      </c>
      <c r="E4433" s="3125">
        <v>74660640.270629197</v>
      </c>
      <c r="F4433" s="3126">
        <v>100</v>
      </c>
      <c r="G4433" s="3127">
        <v>0</v>
      </c>
    </row>
    <row r="4434" spans="1:7" x14ac:dyDescent="0.25">
      <c r="A4434" s="6" t="s">
        <v>6293</v>
      </c>
      <c r="B4434" s="6" t="s">
        <v>6294</v>
      </c>
      <c r="C4434" s="3120">
        <v>123</v>
      </c>
      <c r="D4434" s="3120">
        <v>16219644.316118101</v>
      </c>
      <c r="E4434" s="3121">
        <v>9095574.5915450808</v>
      </c>
      <c r="F4434" s="3122">
        <v>0.29686654763057702</v>
      </c>
      <c r="G4434" s="3123">
        <v>0.16685733467716801</v>
      </c>
    </row>
    <row r="4435" spans="1:7" x14ac:dyDescent="0.25">
      <c r="A4435" s="11" t="s">
        <v>6293</v>
      </c>
      <c r="B4435" s="11" t="s">
        <v>6295</v>
      </c>
      <c r="C4435" s="3124">
        <v>19779</v>
      </c>
      <c r="D4435" s="3124">
        <v>5463614693.3948002</v>
      </c>
      <c r="E4435" s="3125">
        <v>0</v>
      </c>
      <c r="F4435" s="3126">
        <v>100</v>
      </c>
      <c r="G4435" s="3127">
        <v>0</v>
      </c>
    </row>
    <row r="4436" spans="1:7" x14ac:dyDescent="0.25">
      <c r="A4436" s="3353" t="s">
        <v>479</v>
      </c>
      <c r="B4436" s="3354"/>
      <c r="C4436" s="3354"/>
      <c r="D4436" s="3354"/>
      <c r="E4436" s="3354"/>
      <c r="F4436" s="3354"/>
      <c r="G4436" s="3354"/>
    </row>
    <row r="4437" spans="1:7" x14ac:dyDescent="0.25">
      <c r="A4437" s="11" t="s">
        <v>986</v>
      </c>
      <c r="B4437" s="11" t="s">
        <v>1062</v>
      </c>
      <c r="C4437" s="3132">
        <v>24</v>
      </c>
      <c r="D4437" s="3132">
        <v>3689187.2299837898</v>
      </c>
      <c r="E4437" s="3133">
        <v>3945761.1122692199</v>
      </c>
      <c r="F4437" s="3134">
        <v>62.566735070898503</v>
      </c>
      <c r="G4437" s="3135" t="e">
        <v>#NUM!</v>
      </c>
    </row>
    <row r="4438" spans="1:7" x14ac:dyDescent="0.25">
      <c r="A4438" s="6" t="s">
        <v>984</v>
      </c>
      <c r="B4438" s="6" t="s">
        <v>1061</v>
      </c>
      <c r="C4438" s="3128">
        <v>9</v>
      </c>
      <c r="D4438" s="3128">
        <v>2207216.38737506</v>
      </c>
      <c r="E4438" s="3129">
        <v>2268078.1254410399</v>
      </c>
      <c r="F4438" s="3130">
        <v>37.433264929101497</v>
      </c>
      <c r="G4438" s="3131" t="e">
        <v>#NUM!</v>
      </c>
    </row>
    <row r="4439" spans="1:7" x14ac:dyDescent="0.25">
      <c r="A4439" s="11" t="s">
        <v>982</v>
      </c>
      <c r="B4439" s="11" t="s">
        <v>983</v>
      </c>
      <c r="C4439" s="3132">
        <v>19746</v>
      </c>
      <c r="D4439" s="3132">
        <v>5457718289.7774401</v>
      </c>
      <c r="E4439" s="3133">
        <v>74009019.719862804</v>
      </c>
      <c r="F4439" s="3134">
        <v>100</v>
      </c>
      <c r="G4439" s="3135">
        <v>0</v>
      </c>
    </row>
    <row r="4440" spans="1:7" x14ac:dyDescent="0.25">
      <c r="A4440" s="6" t="s">
        <v>6293</v>
      </c>
      <c r="B4440" s="6" t="s">
        <v>6294</v>
      </c>
      <c r="C4440" s="3128">
        <v>33</v>
      </c>
      <c r="D4440" s="3128">
        <v>5896403.6173588503</v>
      </c>
      <c r="E4440" s="3129">
        <v>6205387.2517149504</v>
      </c>
      <c r="F4440" s="3130">
        <v>0.107921292921466</v>
      </c>
      <c r="G4440" s="3131">
        <v>0.113332374294339</v>
      </c>
    </row>
    <row r="4441" spans="1:7" x14ac:dyDescent="0.25">
      <c r="A4441" s="11" t="s">
        <v>6293</v>
      </c>
      <c r="B4441" s="11" t="s">
        <v>6295</v>
      </c>
      <c r="C4441" s="3132">
        <v>19779</v>
      </c>
      <c r="D4441" s="3132">
        <v>5463614693.3948002</v>
      </c>
      <c r="E4441" s="3133">
        <v>0</v>
      </c>
      <c r="F4441" s="3134">
        <v>100</v>
      </c>
      <c r="G4441" s="3135">
        <v>0</v>
      </c>
    </row>
    <row r="4442" spans="1:7" x14ac:dyDescent="0.25">
      <c r="A4442" s="3353" t="s">
        <v>453</v>
      </c>
      <c r="B4442" s="3354"/>
      <c r="C4442" s="3354"/>
      <c r="D4442" s="3354"/>
      <c r="E4442" s="3354"/>
      <c r="F4442" s="3354"/>
      <c r="G4442" s="3354"/>
    </row>
    <row r="4443" spans="1:7" x14ac:dyDescent="0.25">
      <c r="A4443" s="11" t="s">
        <v>982</v>
      </c>
      <c r="B4443" s="11" t="s">
        <v>983</v>
      </c>
      <c r="C4443" s="3140">
        <v>19767</v>
      </c>
      <c r="D4443" s="3140">
        <v>5463614693.3948002</v>
      </c>
      <c r="E4443" s="3141">
        <v>72575038.820973307</v>
      </c>
      <c r="F4443" s="3142">
        <v>100</v>
      </c>
      <c r="G4443" s="3143">
        <v>0</v>
      </c>
    </row>
    <row r="4444" spans="1:7" x14ac:dyDescent="0.25">
      <c r="A4444" s="6" t="s">
        <v>6293</v>
      </c>
      <c r="B4444" s="6" t="s">
        <v>6294</v>
      </c>
      <c r="C4444" s="3136">
        <v>0</v>
      </c>
      <c r="D4444" s="3136">
        <v>0</v>
      </c>
      <c r="E4444" s="3137">
        <v>0</v>
      </c>
      <c r="F4444" s="3138">
        <v>0</v>
      </c>
      <c r="G4444" s="3139">
        <v>0</v>
      </c>
    </row>
    <row r="4445" spans="1:7" x14ac:dyDescent="0.25">
      <c r="A4445" s="11" t="s">
        <v>6293</v>
      </c>
      <c r="B4445" s="11" t="s">
        <v>6295</v>
      </c>
      <c r="C4445" s="3140">
        <v>19767</v>
      </c>
      <c r="D4445" s="3140">
        <v>5463614693.3948002</v>
      </c>
      <c r="E4445" s="3141">
        <v>0</v>
      </c>
      <c r="F4445" s="3142">
        <v>100</v>
      </c>
      <c r="G4445" s="3143">
        <v>0</v>
      </c>
    </row>
    <row r="4446" spans="1:7" x14ac:dyDescent="0.25">
      <c r="A4446" s="3353" t="s">
        <v>455</v>
      </c>
      <c r="B4446" s="3354"/>
      <c r="C4446" s="3354"/>
      <c r="D4446" s="3354"/>
      <c r="E4446" s="3354"/>
      <c r="F4446" s="3354"/>
      <c r="G4446" s="3354"/>
    </row>
    <row r="4447" spans="1:7" x14ac:dyDescent="0.25">
      <c r="A4447" s="11" t="s">
        <v>982</v>
      </c>
      <c r="B4447" s="11" t="s">
        <v>983</v>
      </c>
      <c r="C4447" s="3148">
        <v>19767</v>
      </c>
      <c r="D4447" s="3148">
        <v>5463614693.3948002</v>
      </c>
      <c r="E4447" s="3149">
        <v>72575038.820973307</v>
      </c>
      <c r="F4447" s="3150">
        <v>100</v>
      </c>
      <c r="G4447" s="3151">
        <v>0</v>
      </c>
    </row>
    <row r="4448" spans="1:7" x14ac:dyDescent="0.25">
      <c r="A4448" s="6" t="s">
        <v>6293</v>
      </c>
      <c r="B4448" s="6" t="s">
        <v>6294</v>
      </c>
      <c r="C4448" s="3144">
        <v>0</v>
      </c>
      <c r="D4448" s="3144">
        <v>0</v>
      </c>
      <c r="E4448" s="3145">
        <v>0</v>
      </c>
      <c r="F4448" s="3146">
        <v>0</v>
      </c>
      <c r="G4448" s="3147">
        <v>0</v>
      </c>
    </row>
    <row r="4449" spans="1:7" x14ac:dyDescent="0.25">
      <c r="A4449" s="11" t="s">
        <v>6293</v>
      </c>
      <c r="B4449" s="11" t="s">
        <v>6295</v>
      </c>
      <c r="C4449" s="3148">
        <v>19767</v>
      </c>
      <c r="D4449" s="3148">
        <v>5463614693.3948002</v>
      </c>
      <c r="E4449" s="3149">
        <v>0</v>
      </c>
      <c r="F4449" s="3150">
        <v>100</v>
      </c>
      <c r="G4449" s="3151">
        <v>0</v>
      </c>
    </row>
    <row r="4450" spans="1:7" x14ac:dyDescent="0.25">
      <c r="A4450" s="3353" t="s">
        <v>457</v>
      </c>
      <c r="B4450" s="3354"/>
      <c r="C4450" s="3354"/>
      <c r="D4450" s="3354"/>
      <c r="E4450" s="3354"/>
      <c r="F4450" s="3354"/>
      <c r="G4450" s="3354"/>
    </row>
    <row r="4451" spans="1:7" x14ac:dyDescent="0.25">
      <c r="A4451" s="11" t="s">
        <v>982</v>
      </c>
      <c r="B4451" s="11" t="s">
        <v>983</v>
      </c>
      <c r="C4451" s="3156">
        <v>19767</v>
      </c>
      <c r="D4451" s="3156">
        <v>5463614693.3948002</v>
      </c>
      <c r="E4451" s="3157">
        <v>72575038.820973307</v>
      </c>
      <c r="F4451" s="3158">
        <v>100</v>
      </c>
      <c r="G4451" s="3159">
        <v>0</v>
      </c>
    </row>
    <row r="4452" spans="1:7" x14ac:dyDescent="0.25">
      <c r="A4452" s="6" t="s">
        <v>6293</v>
      </c>
      <c r="B4452" s="6" t="s">
        <v>6294</v>
      </c>
      <c r="C4452" s="3152">
        <v>0</v>
      </c>
      <c r="D4452" s="3152">
        <v>0</v>
      </c>
      <c r="E4452" s="3153">
        <v>0</v>
      </c>
      <c r="F4452" s="3154">
        <v>0</v>
      </c>
      <c r="G4452" s="3155">
        <v>0</v>
      </c>
    </row>
    <row r="4453" spans="1:7" x14ac:dyDescent="0.25">
      <c r="A4453" s="11" t="s">
        <v>6293</v>
      </c>
      <c r="B4453" s="11" t="s">
        <v>6295</v>
      </c>
      <c r="C4453" s="3156">
        <v>19767</v>
      </c>
      <c r="D4453" s="3156">
        <v>5463614693.3948002</v>
      </c>
      <c r="E4453" s="3157">
        <v>0</v>
      </c>
      <c r="F4453" s="3158">
        <v>100</v>
      </c>
      <c r="G4453" s="3159">
        <v>0</v>
      </c>
    </row>
    <row r="4454" spans="1:7" x14ac:dyDescent="0.25">
      <c r="A4454" s="3353" t="s">
        <v>459</v>
      </c>
      <c r="B4454" s="3354"/>
      <c r="C4454" s="3354"/>
      <c r="D4454" s="3354"/>
      <c r="E4454" s="3354"/>
      <c r="F4454" s="3354"/>
      <c r="G4454" s="3354"/>
    </row>
    <row r="4455" spans="1:7" x14ac:dyDescent="0.25">
      <c r="A4455" s="11" t="s">
        <v>982</v>
      </c>
      <c r="B4455" s="11" t="s">
        <v>983</v>
      </c>
      <c r="C4455" s="3164">
        <v>19767</v>
      </c>
      <c r="D4455" s="3164">
        <v>5463614693.3948002</v>
      </c>
      <c r="E4455" s="3165">
        <v>72575038.820973307</v>
      </c>
      <c r="F4455" s="3166">
        <v>100</v>
      </c>
      <c r="G4455" s="3167">
        <v>0</v>
      </c>
    </row>
    <row r="4456" spans="1:7" x14ac:dyDescent="0.25">
      <c r="A4456" s="6" t="s">
        <v>6293</v>
      </c>
      <c r="B4456" s="6" t="s">
        <v>6294</v>
      </c>
      <c r="C4456" s="3160">
        <v>0</v>
      </c>
      <c r="D4456" s="3160">
        <v>0</v>
      </c>
      <c r="E4456" s="3161">
        <v>0</v>
      </c>
      <c r="F4456" s="3162">
        <v>0</v>
      </c>
      <c r="G4456" s="3163">
        <v>0</v>
      </c>
    </row>
    <row r="4457" spans="1:7" x14ac:dyDescent="0.25">
      <c r="A4457" s="11" t="s">
        <v>6293</v>
      </c>
      <c r="B4457" s="11" t="s">
        <v>6295</v>
      </c>
      <c r="C4457" s="3164">
        <v>19767</v>
      </c>
      <c r="D4457" s="3164">
        <v>5463614693.3948002</v>
      </c>
      <c r="E4457" s="3165">
        <v>0</v>
      </c>
      <c r="F4457" s="3166">
        <v>100</v>
      </c>
      <c r="G4457" s="3167">
        <v>0</v>
      </c>
    </row>
    <row r="4458" spans="1:7" x14ac:dyDescent="0.25">
      <c r="A4458" s="3353" t="s">
        <v>461</v>
      </c>
      <c r="B4458" s="3354"/>
      <c r="C4458" s="3354"/>
      <c r="D4458" s="3354"/>
      <c r="E4458" s="3354"/>
      <c r="F4458" s="3354"/>
      <c r="G4458" s="3354"/>
    </row>
    <row r="4459" spans="1:7" x14ac:dyDescent="0.25">
      <c r="A4459" s="11" t="s">
        <v>982</v>
      </c>
      <c r="B4459" s="11" t="s">
        <v>983</v>
      </c>
      <c r="C4459" s="3172">
        <v>19779</v>
      </c>
      <c r="D4459" s="3172">
        <v>5463614693.3948002</v>
      </c>
      <c r="E4459" s="3173">
        <v>72575038.820973307</v>
      </c>
      <c r="F4459" s="3174">
        <v>100</v>
      </c>
      <c r="G4459" s="3175">
        <v>0</v>
      </c>
    </row>
    <row r="4460" spans="1:7" x14ac:dyDescent="0.25">
      <c r="A4460" s="6" t="s">
        <v>6293</v>
      </c>
      <c r="B4460" s="6" t="s">
        <v>6294</v>
      </c>
      <c r="C4460" s="3168">
        <v>0</v>
      </c>
      <c r="D4460" s="3168">
        <v>0</v>
      </c>
      <c r="E4460" s="3169">
        <v>0</v>
      </c>
      <c r="F4460" s="3170">
        <v>0</v>
      </c>
      <c r="G4460" s="3171">
        <v>0</v>
      </c>
    </row>
    <row r="4461" spans="1:7" x14ac:dyDescent="0.25">
      <c r="A4461" s="11" t="s">
        <v>6293</v>
      </c>
      <c r="B4461" s="11" t="s">
        <v>6295</v>
      </c>
      <c r="C4461" s="3172">
        <v>19779</v>
      </c>
      <c r="D4461" s="3172">
        <v>5463614693.3948002</v>
      </c>
      <c r="E4461" s="3173">
        <v>0</v>
      </c>
      <c r="F4461" s="3174">
        <v>100</v>
      </c>
      <c r="G4461" s="3175">
        <v>0</v>
      </c>
    </row>
    <row r="4462" spans="1:7" x14ac:dyDescent="0.25">
      <c r="A4462" s="3353" t="s">
        <v>463</v>
      </c>
      <c r="B4462" s="3354"/>
      <c r="C4462" s="3354"/>
      <c r="D4462" s="3354"/>
      <c r="E4462" s="3354"/>
      <c r="F4462" s="3354"/>
      <c r="G4462" s="3354"/>
    </row>
    <row r="4463" spans="1:7" x14ac:dyDescent="0.25">
      <c r="A4463" s="11" t="s">
        <v>982</v>
      </c>
      <c r="B4463" s="11" t="s">
        <v>983</v>
      </c>
      <c r="C4463" s="3180">
        <v>19779</v>
      </c>
      <c r="D4463" s="3180">
        <v>5463614693.3948002</v>
      </c>
      <c r="E4463" s="3181">
        <v>72575038.820973307</v>
      </c>
      <c r="F4463" s="3182">
        <v>100</v>
      </c>
      <c r="G4463" s="3183">
        <v>0</v>
      </c>
    </row>
    <row r="4464" spans="1:7" x14ac:dyDescent="0.25">
      <c r="A4464" s="6" t="s">
        <v>6293</v>
      </c>
      <c r="B4464" s="6" t="s">
        <v>6294</v>
      </c>
      <c r="C4464" s="3176">
        <v>0</v>
      </c>
      <c r="D4464" s="3176">
        <v>0</v>
      </c>
      <c r="E4464" s="3177">
        <v>0</v>
      </c>
      <c r="F4464" s="3178">
        <v>0</v>
      </c>
      <c r="G4464" s="3179">
        <v>0</v>
      </c>
    </row>
    <row r="4465" spans="1:7" x14ac:dyDescent="0.25">
      <c r="A4465" s="11" t="s">
        <v>6293</v>
      </c>
      <c r="B4465" s="11" t="s">
        <v>6295</v>
      </c>
      <c r="C4465" s="3180">
        <v>19779</v>
      </c>
      <c r="D4465" s="3180">
        <v>5463614693.3948002</v>
      </c>
      <c r="E4465" s="3181">
        <v>0</v>
      </c>
      <c r="F4465" s="3182">
        <v>100</v>
      </c>
      <c r="G4465" s="3183">
        <v>0</v>
      </c>
    </row>
    <row r="4466" spans="1:7" x14ac:dyDescent="0.25">
      <c r="A4466" s="3353" t="s">
        <v>649</v>
      </c>
      <c r="B4466" s="3354"/>
      <c r="C4466" s="3354"/>
      <c r="D4466" s="3354"/>
      <c r="E4466" s="3354"/>
      <c r="F4466" s="3354"/>
      <c r="G4466" s="3354"/>
    </row>
    <row r="4467" spans="1:7" x14ac:dyDescent="0.25">
      <c r="A4467" s="11" t="s">
        <v>6293</v>
      </c>
      <c r="B4467" s="11" t="s">
        <v>6294</v>
      </c>
      <c r="C4467" s="3188">
        <v>16343</v>
      </c>
      <c r="D4467" s="3188">
        <v>5463614693.3948698</v>
      </c>
      <c r="E4467" s="3189">
        <v>72575038.820913196</v>
      </c>
      <c r="F4467" s="3190">
        <v>100</v>
      </c>
      <c r="G4467" s="3191">
        <v>1.78031750616652E-14</v>
      </c>
    </row>
    <row r="4468" spans="1:7" x14ac:dyDescent="0.25">
      <c r="A4468" s="6" t="s">
        <v>6293</v>
      </c>
      <c r="B4468" s="6" t="s">
        <v>6295</v>
      </c>
      <c r="C4468" s="3184">
        <v>16343</v>
      </c>
      <c r="D4468" s="3184">
        <v>5463614693.3948698</v>
      </c>
      <c r="E4468" s="3185">
        <v>0</v>
      </c>
      <c r="F4468" s="3186">
        <v>100</v>
      </c>
      <c r="G4468" s="3187">
        <v>0</v>
      </c>
    </row>
    <row r="4469" spans="1:7" x14ac:dyDescent="0.25">
      <c r="A4469" s="3355" t="s">
        <v>1060</v>
      </c>
      <c r="B4469" s="3354"/>
      <c r="C4469" s="3354"/>
      <c r="D4469" s="3354"/>
      <c r="E4469" s="3354"/>
      <c r="F4469" s="3354"/>
      <c r="G4469" s="3354"/>
    </row>
    <row r="4470" spans="1:7" x14ac:dyDescent="0.25">
      <c r="A4470" s="3353" t="s">
        <v>273</v>
      </c>
      <c r="B4470" s="3354"/>
      <c r="C4470" s="3354"/>
      <c r="D4470" s="3354"/>
      <c r="E4470" s="3354"/>
      <c r="F4470" s="3354"/>
      <c r="G4470" s="3354"/>
    </row>
    <row r="4471" spans="1:7" x14ac:dyDescent="0.25">
      <c r="A4471" s="11" t="s">
        <v>6293</v>
      </c>
      <c r="B4471" s="11" t="s">
        <v>6294</v>
      </c>
      <c r="C4471" s="3196">
        <v>10703</v>
      </c>
      <c r="D4471" s="3196"/>
      <c r="E4471" s="3197"/>
      <c r="F4471" s="3198"/>
      <c r="G4471" s="3199"/>
    </row>
    <row r="4472" spans="1:7" x14ac:dyDescent="0.25">
      <c r="A4472" s="6" t="s">
        <v>6293</v>
      </c>
      <c r="B4472" s="6" t="s">
        <v>6295</v>
      </c>
      <c r="C4472" s="3192">
        <v>10703</v>
      </c>
      <c r="D4472" s="3192"/>
      <c r="E4472" s="3193">
        <v>0</v>
      </c>
      <c r="F4472" s="3194">
        <v>100</v>
      </c>
      <c r="G4472" s="3195">
        <v>0</v>
      </c>
    </row>
    <row r="4473" spans="1:7" x14ac:dyDescent="0.25">
      <c r="A4473" s="3353" t="s">
        <v>362</v>
      </c>
      <c r="B4473" s="3354"/>
      <c r="C4473" s="3354"/>
      <c r="D4473" s="3354"/>
      <c r="E4473" s="3354"/>
      <c r="F4473" s="3354"/>
      <c r="G4473" s="3354"/>
    </row>
    <row r="4474" spans="1:7" x14ac:dyDescent="0.25">
      <c r="A4474" s="11" t="s">
        <v>4322</v>
      </c>
      <c r="B4474" s="11"/>
      <c r="C4474" s="3204">
        <v>2987</v>
      </c>
      <c r="D4474" s="3204"/>
      <c r="E4474" s="3205"/>
      <c r="F4474" s="3206"/>
      <c r="G4474" s="3207"/>
    </row>
    <row r="4475" spans="1:7" x14ac:dyDescent="0.25">
      <c r="A4475" s="6" t="s">
        <v>6611</v>
      </c>
      <c r="B4475" s="6"/>
      <c r="C4475" s="3200">
        <v>2358</v>
      </c>
      <c r="D4475" s="3200"/>
      <c r="E4475" s="3201"/>
      <c r="F4475" s="3202"/>
      <c r="G4475" s="3203"/>
    </row>
    <row r="4476" spans="1:7" x14ac:dyDescent="0.25">
      <c r="A4476" s="11" t="s">
        <v>6612</v>
      </c>
      <c r="B4476" s="11"/>
      <c r="C4476" s="3204">
        <v>1840</v>
      </c>
      <c r="D4476" s="3204"/>
      <c r="E4476" s="3205"/>
      <c r="F4476" s="3206"/>
      <c r="G4476" s="3207"/>
    </row>
    <row r="4477" spans="1:7" x14ac:dyDescent="0.25">
      <c r="A4477" s="6" t="s">
        <v>6613</v>
      </c>
      <c r="B4477" s="6"/>
      <c r="C4477" s="3200">
        <v>1341</v>
      </c>
      <c r="D4477" s="3200"/>
      <c r="E4477" s="3201"/>
      <c r="F4477" s="3202"/>
      <c r="G4477" s="3203"/>
    </row>
    <row r="4478" spans="1:7" x14ac:dyDescent="0.25">
      <c r="A4478" s="11" t="s">
        <v>6614</v>
      </c>
      <c r="B4478" s="11"/>
      <c r="C4478" s="3204">
        <v>904</v>
      </c>
      <c r="D4478" s="3204"/>
      <c r="E4478" s="3205"/>
      <c r="F4478" s="3206"/>
      <c r="G4478" s="3207"/>
    </row>
    <row r="4479" spans="1:7" x14ac:dyDescent="0.25">
      <c r="A4479" s="6" t="s">
        <v>6618</v>
      </c>
      <c r="B4479" s="6"/>
      <c r="C4479" s="3200">
        <v>541</v>
      </c>
      <c r="D4479" s="3200"/>
      <c r="E4479" s="3201"/>
      <c r="F4479" s="3202"/>
      <c r="G4479" s="3203"/>
    </row>
    <row r="4480" spans="1:7" x14ac:dyDescent="0.25">
      <c r="A4480" s="11" t="s">
        <v>6619</v>
      </c>
      <c r="B4480" s="11"/>
      <c r="C4480" s="3204">
        <v>343</v>
      </c>
      <c r="D4480" s="3204"/>
      <c r="E4480" s="3205"/>
      <c r="F4480" s="3206"/>
      <c r="G4480" s="3207"/>
    </row>
    <row r="4481" spans="1:7" x14ac:dyDescent="0.25">
      <c r="A4481" s="6" t="s">
        <v>6620</v>
      </c>
      <c r="B4481" s="6"/>
      <c r="C4481" s="3200">
        <v>200</v>
      </c>
      <c r="D4481" s="3200"/>
      <c r="E4481" s="3201"/>
      <c r="F4481" s="3202"/>
      <c r="G4481" s="3203"/>
    </row>
    <row r="4482" spans="1:7" x14ac:dyDescent="0.25">
      <c r="A4482" s="11" t="s">
        <v>6622</v>
      </c>
      <c r="B4482" s="11"/>
      <c r="C4482" s="3204">
        <v>129</v>
      </c>
      <c r="D4482" s="3204"/>
      <c r="E4482" s="3205"/>
      <c r="F4482" s="3206"/>
      <c r="G4482" s="3207"/>
    </row>
    <row r="4483" spans="1:7" x14ac:dyDescent="0.25">
      <c r="A4483" s="6" t="s">
        <v>6624</v>
      </c>
      <c r="B4483" s="6"/>
      <c r="C4483" s="3200">
        <v>80</v>
      </c>
      <c r="D4483" s="3200"/>
      <c r="E4483" s="3201"/>
      <c r="F4483" s="3202"/>
      <c r="G4483" s="3203"/>
    </row>
    <row r="4484" spans="1:7" x14ac:dyDescent="0.25">
      <c r="A4484" s="11" t="s">
        <v>6626</v>
      </c>
      <c r="B4484" s="11"/>
      <c r="C4484" s="3204">
        <v>49</v>
      </c>
      <c r="D4484" s="3204"/>
      <c r="E4484" s="3205"/>
      <c r="F4484" s="3206"/>
      <c r="G4484" s="3207"/>
    </row>
    <row r="4485" spans="1:7" x14ac:dyDescent="0.25">
      <c r="A4485" s="6" t="s">
        <v>6630</v>
      </c>
      <c r="B4485" s="6"/>
      <c r="C4485" s="3200">
        <v>25</v>
      </c>
      <c r="D4485" s="3200"/>
      <c r="E4485" s="3201"/>
      <c r="F4485" s="3202"/>
      <c r="G4485" s="3203"/>
    </row>
    <row r="4486" spans="1:7" x14ac:dyDescent="0.25">
      <c r="A4486" s="11" t="s">
        <v>6631</v>
      </c>
      <c r="B4486" s="11"/>
      <c r="C4486" s="3204">
        <v>16</v>
      </c>
      <c r="D4486" s="3204"/>
      <c r="E4486" s="3205"/>
      <c r="F4486" s="3206"/>
      <c r="G4486" s="3207"/>
    </row>
    <row r="4487" spans="1:7" x14ac:dyDescent="0.25">
      <c r="A4487" s="6" t="s">
        <v>6633</v>
      </c>
      <c r="B4487" s="6"/>
      <c r="C4487" s="3200">
        <v>11</v>
      </c>
      <c r="D4487" s="3200"/>
      <c r="E4487" s="3201"/>
      <c r="F4487" s="3202"/>
      <c r="G4487" s="3203"/>
    </row>
    <row r="4488" spans="1:7" x14ac:dyDescent="0.25">
      <c r="A4488" s="11" t="s">
        <v>6635</v>
      </c>
      <c r="B4488" s="11"/>
      <c r="C4488" s="3204">
        <v>5</v>
      </c>
      <c r="D4488" s="3204"/>
      <c r="E4488" s="3205"/>
      <c r="F4488" s="3206"/>
      <c r="G4488" s="3207"/>
    </row>
    <row r="4489" spans="1:7" x14ac:dyDescent="0.25">
      <c r="A4489" s="6" t="s">
        <v>6636</v>
      </c>
      <c r="B4489" s="6"/>
      <c r="C4489" s="3200">
        <v>3</v>
      </c>
      <c r="D4489" s="3200"/>
      <c r="E4489" s="3201"/>
      <c r="F4489" s="3202"/>
      <c r="G4489" s="3203"/>
    </row>
    <row r="4490" spans="1:7" x14ac:dyDescent="0.25">
      <c r="A4490" s="11" t="s">
        <v>6639</v>
      </c>
      <c r="B4490" s="11"/>
      <c r="C4490" s="3204">
        <v>3</v>
      </c>
      <c r="D4490" s="3204"/>
      <c r="E4490" s="3205"/>
      <c r="F4490" s="3206"/>
      <c r="G4490" s="3207"/>
    </row>
    <row r="4491" spans="1:7" x14ac:dyDescent="0.25">
      <c r="A4491" s="6" t="s">
        <v>6640</v>
      </c>
      <c r="B4491" s="6"/>
      <c r="C4491" s="3200">
        <v>1</v>
      </c>
      <c r="D4491" s="3200"/>
      <c r="E4491" s="3201"/>
      <c r="F4491" s="3202"/>
      <c r="G4491" s="3203"/>
    </row>
    <row r="4492" spans="1:7" x14ac:dyDescent="0.25">
      <c r="A4492" s="11" t="s">
        <v>6641</v>
      </c>
      <c r="B4492" s="11"/>
      <c r="C4492" s="3204">
        <v>1</v>
      </c>
      <c r="D4492" s="3204"/>
      <c r="E4492" s="3205"/>
      <c r="F4492" s="3206"/>
      <c r="G4492" s="3207"/>
    </row>
    <row r="4493" spans="1:7" x14ac:dyDescent="0.25">
      <c r="A4493" s="6" t="s">
        <v>6642</v>
      </c>
      <c r="B4493" s="6"/>
      <c r="C4493" s="3200">
        <v>1</v>
      </c>
      <c r="D4493" s="3200"/>
      <c r="E4493" s="3201"/>
      <c r="F4493" s="3202"/>
      <c r="G4493" s="3203"/>
    </row>
    <row r="4494" spans="1:7" x14ac:dyDescent="0.25">
      <c r="A4494" s="11" t="s">
        <v>6645</v>
      </c>
      <c r="B4494" s="11"/>
      <c r="C4494" s="3204">
        <v>1</v>
      </c>
      <c r="D4494" s="3204"/>
      <c r="E4494" s="3205"/>
      <c r="F4494" s="3206"/>
      <c r="G4494" s="3207"/>
    </row>
    <row r="4495" spans="1:7" x14ac:dyDescent="0.25">
      <c r="A4495" s="6" t="s">
        <v>6644</v>
      </c>
      <c r="B4495" s="6"/>
      <c r="C4495" s="3200">
        <v>1</v>
      </c>
      <c r="D4495" s="3200"/>
      <c r="E4495" s="3201"/>
      <c r="F4495" s="3202"/>
      <c r="G4495" s="3203"/>
    </row>
    <row r="4496" spans="1:7" x14ac:dyDescent="0.25">
      <c r="A4496" s="11" t="s">
        <v>6615</v>
      </c>
      <c r="B4496" s="11"/>
      <c r="C4496" s="3204">
        <v>949</v>
      </c>
      <c r="D4496" s="3204"/>
      <c r="E4496" s="3205"/>
      <c r="F4496" s="3206"/>
      <c r="G4496" s="3207"/>
    </row>
    <row r="4497" spans="1:7" x14ac:dyDescent="0.25">
      <c r="A4497" s="6" t="s">
        <v>6629</v>
      </c>
      <c r="B4497" s="6"/>
      <c r="C4497" s="3200">
        <v>1</v>
      </c>
      <c r="D4497" s="3200"/>
      <c r="E4497" s="3201"/>
      <c r="F4497" s="3202"/>
      <c r="G4497" s="3203"/>
    </row>
    <row r="4498" spans="1:7" x14ac:dyDescent="0.25">
      <c r="A4498" s="11" t="s">
        <v>6616</v>
      </c>
      <c r="B4498" s="11"/>
      <c r="C4498" s="3204">
        <v>658</v>
      </c>
      <c r="D4498" s="3204"/>
      <c r="E4498" s="3205"/>
      <c r="F4498" s="3206"/>
      <c r="G4498" s="3207"/>
    </row>
    <row r="4499" spans="1:7" x14ac:dyDescent="0.25">
      <c r="A4499" s="6" t="s">
        <v>6623</v>
      </c>
      <c r="B4499" s="6"/>
      <c r="C4499" s="3200">
        <v>57</v>
      </c>
      <c r="D4499" s="3200"/>
      <c r="E4499" s="3201"/>
      <c r="F4499" s="3202"/>
      <c r="G4499" s="3203"/>
    </row>
    <row r="4500" spans="1:7" x14ac:dyDescent="0.25">
      <c r="A4500" s="11" t="s">
        <v>6621</v>
      </c>
      <c r="B4500" s="11"/>
      <c r="C4500" s="3204">
        <v>126</v>
      </c>
      <c r="D4500" s="3204"/>
      <c r="E4500" s="3205"/>
      <c r="F4500" s="3206"/>
      <c r="G4500" s="3207"/>
    </row>
    <row r="4501" spans="1:7" x14ac:dyDescent="0.25">
      <c r="A4501" s="6" t="s">
        <v>6617</v>
      </c>
      <c r="B4501" s="6"/>
      <c r="C4501" s="3200">
        <v>242</v>
      </c>
      <c r="D4501" s="3200"/>
      <c r="E4501" s="3201"/>
      <c r="F4501" s="3202"/>
      <c r="G4501" s="3203"/>
    </row>
    <row r="4502" spans="1:7" x14ac:dyDescent="0.25">
      <c r="A4502" s="11" t="s">
        <v>6628</v>
      </c>
      <c r="B4502" s="11"/>
      <c r="C4502" s="3204">
        <v>26</v>
      </c>
      <c r="D4502" s="3204"/>
      <c r="E4502" s="3205"/>
      <c r="F4502" s="3206"/>
      <c r="G4502" s="3207"/>
    </row>
    <row r="4503" spans="1:7" x14ac:dyDescent="0.25">
      <c r="A4503" s="6" t="s">
        <v>4871</v>
      </c>
      <c r="B4503" s="6"/>
      <c r="C4503" s="3200">
        <v>156</v>
      </c>
      <c r="D4503" s="3200"/>
      <c r="E4503" s="3201"/>
      <c r="F4503" s="3202"/>
      <c r="G4503" s="3203"/>
    </row>
    <row r="4504" spans="1:7" x14ac:dyDescent="0.25">
      <c r="A4504" s="11" t="s">
        <v>6632</v>
      </c>
      <c r="B4504" s="11"/>
      <c r="C4504" s="3204">
        <v>5</v>
      </c>
      <c r="D4504" s="3204"/>
      <c r="E4504" s="3205"/>
      <c r="F4504" s="3206"/>
      <c r="G4504" s="3207"/>
    </row>
    <row r="4505" spans="1:7" x14ac:dyDescent="0.25">
      <c r="A4505" s="6" t="s">
        <v>6625</v>
      </c>
      <c r="B4505" s="6"/>
      <c r="C4505" s="3200">
        <v>46</v>
      </c>
      <c r="D4505" s="3200"/>
      <c r="E4505" s="3201"/>
      <c r="F4505" s="3202"/>
      <c r="G4505" s="3203"/>
    </row>
    <row r="4506" spans="1:7" x14ac:dyDescent="0.25">
      <c r="A4506" s="11" t="s">
        <v>6637</v>
      </c>
      <c r="B4506" s="11"/>
      <c r="C4506" s="3204">
        <v>1</v>
      </c>
      <c r="D4506" s="3204"/>
      <c r="E4506" s="3205"/>
      <c r="F4506" s="3206"/>
      <c r="G4506" s="3207"/>
    </row>
    <row r="4507" spans="1:7" x14ac:dyDescent="0.25">
      <c r="A4507" s="6" t="s">
        <v>6634</v>
      </c>
      <c r="B4507" s="6"/>
      <c r="C4507" s="3200">
        <v>18</v>
      </c>
      <c r="D4507" s="3200"/>
      <c r="E4507" s="3201"/>
      <c r="F4507" s="3202"/>
      <c r="G4507" s="3203"/>
    </row>
    <row r="4508" spans="1:7" x14ac:dyDescent="0.25">
      <c r="A4508" s="11" t="s">
        <v>6638</v>
      </c>
      <c r="B4508" s="11"/>
      <c r="C4508" s="3204">
        <v>1</v>
      </c>
      <c r="D4508" s="3204"/>
      <c r="E4508" s="3205"/>
      <c r="F4508" s="3206"/>
      <c r="G4508" s="3207"/>
    </row>
    <row r="4509" spans="1:7" x14ac:dyDescent="0.25">
      <c r="A4509" s="6" t="s">
        <v>6627</v>
      </c>
      <c r="B4509" s="6"/>
      <c r="C4509" s="3200">
        <v>6</v>
      </c>
      <c r="D4509" s="3200"/>
      <c r="E4509" s="3201"/>
      <c r="F4509" s="3202"/>
      <c r="G4509" s="3203"/>
    </row>
    <row r="4510" spans="1:7" x14ac:dyDescent="0.25">
      <c r="A4510" s="11" t="s">
        <v>6643</v>
      </c>
      <c r="B4510" s="11"/>
      <c r="C4510" s="3204">
        <v>1</v>
      </c>
      <c r="D4510" s="3204"/>
      <c r="E4510" s="3205"/>
      <c r="F4510" s="3206"/>
      <c r="G4510" s="3207"/>
    </row>
    <row r="4511" spans="1:7" x14ac:dyDescent="0.25">
      <c r="A4511" s="6" t="s">
        <v>6732</v>
      </c>
      <c r="B4511" s="6"/>
      <c r="C4511" s="3200">
        <v>1</v>
      </c>
      <c r="D4511" s="3200"/>
      <c r="E4511" s="3201"/>
      <c r="F4511" s="3202"/>
      <c r="G4511" s="3203"/>
    </row>
    <row r="4512" spans="1:7" x14ac:dyDescent="0.25">
      <c r="A4512" s="11" t="s">
        <v>6293</v>
      </c>
      <c r="B4512" s="11" t="s">
        <v>6294</v>
      </c>
      <c r="C4512" s="3204">
        <v>13134</v>
      </c>
      <c r="D4512" s="3204"/>
      <c r="E4512" s="3205"/>
      <c r="F4512" s="3206"/>
      <c r="G4512" s="3207"/>
    </row>
    <row r="4513" spans="1:7" x14ac:dyDescent="0.25">
      <c r="A4513" s="6" t="s">
        <v>6293</v>
      </c>
      <c r="B4513" s="6" t="s">
        <v>6295</v>
      </c>
      <c r="C4513" s="3200">
        <v>13134</v>
      </c>
      <c r="D4513" s="3200"/>
      <c r="E4513" s="3201">
        <v>0</v>
      </c>
      <c r="F4513" s="3202">
        <v>100</v>
      </c>
      <c r="G4513" s="3203">
        <v>0</v>
      </c>
    </row>
    <row r="4514" spans="1:7" x14ac:dyDescent="0.25">
      <c r="A4514" s="3353" t="s">
        <v>496</v>
      </c>
      <c r="B4514" s="3354"/>
      <c r="C4514" s="3354"/>
      <c r="D4514" s="3354"/>
      <c r="E4514" s="3354"/>
      <c r="F4514" s="3354"/>
      <c r="G4514" s="3354"/>
    </row>
    <row r="4515" spans="1:7" x14ac:dyDescent="0.25">
      <c r="A4515" s="11" t="s">
        <v>984</v>
      </c>
      <c r="B4515" s="11"/>
      <c r="C4515" s="3212">
        <v>950</v>
      </c>
      <c r="D4515" s="3212"/>
      <c r="E4515" s="3213"/>
      <c r="F4515" s="3214"/>
      <c r="G4515" s="3215"/>
    </row>
    <row r="4516" spans="1:7" x14ac:dyDescent="0.25">
      <c r="A4516" s="6" t="s">
        <v>986</v>
      </c>
      <c r="B4516" s="6"/>
      <c r="C4516" s="3208">
        <v>715</v>
      </c>
      <c r="D4516" s="3208"/>
      <c r="E4516" s="3209"/>
      <c r="F4516" s="3210"/>
      <c r="G4516" s="3211"/>
    </row>
    <row r="4517" spans="1:7" x14ac:dyDescent="0.25">
      <c r="A4517" s="11" t="s">
        <v>988</v>
      </c>
      <c r="B4517" s="11"/>
      <c r="C4517" s="3212">
        <v>368</v>
      </c>
      <c r="D4517" s="3212"/>
      <c r="E4517" s="3213"/>
      <c r="F4517" s="3214"/>
      <c r="G4517" s="3215"/>
    </row>
    <row r="4518" spans="1:7" x14ac:dyDescent="0.25">
      <c r="A4518" s="6" t="s">
        <v>990</v>
      </c>
      <c r="B4518" s="6"/>
      <c r="C4518" s="3208">
        <v>182</v>
      </c>
      <c r="D4518" s="3208"/>
      <c r="E4518" s="3209"/>
      <c r="F4518" s="3210"/>
      <c r="G4518" s="3211"/>
    </row>
    <row r="4519" spans="1:7" x14ac:dyDescent="0.25">
      <c r="A4519" s="11" t="s">
        <v>992</v>
      </c>
      <c r="B4519" s="11"/>
      <c r="C4519" s="3212">
        <v>51</v>
      </c>
      <c r="D4519" s="3212"/>
      <c r="E4519" s="3213"/>
      <c r="F4519" s="3214"/>
      <c r="G4519" s="3215"/>
    </row>
    <row r="4520" spans="1:7" x14ac:dyDescent="0.25">
      <c r="A4520" s="6" t="s">
        <v>994</v>
      </c>
      <c r="B4520" s="6"/>
      <c r="C4520" s="3208">
        <v>19</v>
      </c>
      <c r="D4520" s="3208"/>
      <c r="E4520" s="3209"/>
      <c r="F4520" s="3210"/>
      <c r="G4520" s="3211"/>
    </row>
    <row r="4521" spans="1:7" x14ac:dyDescent="0.25">
      <c r="A4521" s="11" t="s">
        <v>1003</v>
      </c>
      <c r="B4521" s="11"/>
      <c r="C4521" s="3212">
        <v>7</v>
      </c>
      <c r="D4521" s="3212"/>
      <c r="E4521" s="3213"/>
      <c r="F4521" s="3214"/>
      <c r="G4521" s="3215"/>
    </row>
    <row r="4522" spans="1:7" x14ac:dyDescent="0.25">
      <c r="A4522" s="6" t="s">
        <v>1013</v>
      </c>
      <c r="B4522" s="6"/>
      <c r="C4522" s="3208">
        <v>1</v>
      </c>
      <c r="D4522" s="3208"/>
      <c r="E4522" s="3209"/>
      <c r="F4522" s="3210"/>
      <c r="G4522" s="3211"/>
    </row>
    <row r="4523" spans="1:7" x14ac:dyDescent="0.25">
      <c r="A4523" s="11" t="s">
        <v>1015</v>
      </c>
      <c r="B4523" s="11"/>
      <c r="C4523" s="3212">
        <v>1</v>
      </c>
      <c r="D4523" s="3212"/>
      <c r="E4523" s="3213"/>
      <c r="F4523" s="3214"/>
      <c r="G4523" s="3215"/>
    </row>
    <row r="4524" spans="1:7" x14ac:dyDescent="0.25">
      <c r="A4524" s="6" t="s">
        <v>982</v>
      </c>
      <c r="B4524" s="6"/>
      <c r="C4524" s="3208">
        <v>10840</v>
      </c>
      <c r="D4524" s="3208"/>
      <c r="E4524" s="3209"/>
      <c r="F4524" s="3210"/>
      <c r="G4524" s="3211"/>
    </row>
    <row r="4525" spans="1:7" x14ac:dyDescent="0.25">
      <c r="A4525" s="11" t="s">
        <v>6293</v>
      </c>
      <c r="B4525" s="11" t="s">
        <v>6294</v>
      </c>
      <c r="C4525" s="3212">
        <v>2294</v>
      </c>
      <c r="D4525" s="3212"/>
      <c r="E4525" s="3213"/>
      <c r="F4525" s="3214"/>
      <c r="G4525" s="3215"/>
    </row>
    <row r="4526" spans="1:7" x14ac:dyDescent="0.25">
      <c r="A4526" s="6" t="s">
        <v>6293</v>
      </c>
      <c r="B4526" s="6" t="s">
        <v>6295</v>
      </c>
      <c r="C4526" s="3208">
        <v>13134</v>
      </c>
      <c r="D4526" s="3208"/>
      <c r="E4526" s="3209">
        <v>0</v>
      </c>
      <c r="F4526" s="3210">
        <v>100</v>
      </c>
      <c r="G4526" s="3211">
        <v>0</v>
      </c>
    </row>
    <row r="4527" spans="1:7" x14ac:dyDescent="0.25">
      <c r="A4527" s="3353" t="s">
        <v>364</v>
      </c>
      <c r="B4527" s="3354"/>
      <c r="C4527" s="3354"/>
      <c r="D4527" s="3354"/>
      <c r="E4527" s="3354"/>
      <c r="F4527" s="3354"/>
      <c r="G4527" s="3354"/>
    </row>
    <row r="4528" spans="1:7" x14ac:dyDescent="0.25">
      <c r="A4528" s="11" t="s">
        <v>984</v>
      </c>
      <c r="B4528" s="11" t="s">
        <v>3140</v>
      </c>
      <c r="C4528" s="3220">
        <v>2987</v>
      </c>
      <c r="D4528" s="3220"/>
      <c r="E4528" s="3221"/>
      <c r="F4528" s="3222"/>
      <c r="G4528" s="3223"/>
    </row>
    <row r="4529" spans="1:7" x14ac:dyDescent="0.25">
      <c r="A4529" s="6" t="s">
        <v>986</v>
      </c>
      <c r="B4529" s="6" t="s">
        <v>3141</v>
      </c>
      <c r="C4529" s="3216">
        <v>1766</v>
      </c>
      <c r="D4529" s="3216"/>
      <c r="E4529" s="3217"/>
      <c r="F4529" s="3218"/>
      <c r="G4529" s="3219"/>
    </row>
    <row r="4530" spans="1:7" x14ac:dyDescent="0.25">
      <c r="A4530" s="11" t="s">
        <v>988</v>
      </c>
      <c r="B4530" s="11" t="s">
        <v>3142</v>
      </c>
      <c r="C4530" s="3220">
        <v>528</v>
      </c>
      <c r="D4530" s="3220"/>
      <c r="E4530" s="3221"/>
      <c r="F4530" s="3222"/>
      <c r="G4530" s="3223"/>
    </row>
    <row r="4531" spans="1:7" x14ac:dyDescent="0.25">
      <c r="A4531" s="6" t="s">
        <v>990</v>
      </c>
      <c r="B4531" s="6" t="s">
        <v>3143</v>
      </c>
      <c r="C4531" s="3216">
        <v>7853</v>
      </c>
      <c r="D4531" s="3216"/>
      <c r="E4531" s="3217"/>
      <c r="F4531" s="3218"/>
      <c r="G4531" s="3219"/>
    </row>
    <row r="4532" spans="1:7" x14ac:dyDescent="0.25">
      <c r="A4532" s="11" t="s">
        <v>6293</v>
      </c>
      <c r="B4532" s="11" t="s">
        <v>6294</v>
      </c>
      <c r="C4532" s="3220">
        <v>13134</v>
      </c>
      <c r="D4532" s="3220"/>
      <c r="E4532" s="3221"/>
      <c r="F4532" s="3222"/>
      <c r="G4532" s="3223"/>
    </row>
    <row r="4533" spans="1:7" x14ac:dyDescent="0.25">
      <c r="A4533" s="6" t="s">
        <v>6293</v>
      </c>
      <c r="B4533" s="6" t="s">
        <v>6295</v>
      </c>
      <c r="C4533" s="3216">
        <v>13134</v>
      </c>
      <c r="D4533" s="3216"/>
      <c r="E4533" s="3217">
        <v>0</v>
      </c>
      <c r="F4533" s="3218">
        <v>100</v>
      </c>
      <c r="G4533" s="3219">
        <v>0</v>
      </c>
    </row>
    <row r="4534" spans="1:7" x14ac:dyDescent="0.25">
      <c r="A4534" s="3353" t="s">
        <v>370</v>
      </c>
      <c r="B4534" s="3354"/>
      <c r="C4534" s="3354"/>
      <c r="D4534" s="3354"/>
      <c r="E4534" s="3354"/>
      <c r="F4534" s="3354"/>
      <c r="G4534" s="3354"/>
    </row>
    <row r="4535" spans="1:7" x14ac:dyDescent="0.25">
      <c r="A4535" s="11" t="s">
        <v>6293</v>
      </c>
      <c r="B4535" s="11" t="s">
        <v>6294</v>
      </c>
      <c r="C4535" s="3228">
        <v>11119</v>
      </c>
      <c r="D4535" s="3228"/>
      <c r="E4535" s="3229"/>
      <c r="F4535" s="3230"/>
      <c r="G4535" s="3231"/>
    </row>
    <row r="4536" spans="1:7" x14ac:dyDescent="0.25">
      <c r="A4536" s="6" t="s">
        <v>6293</v>
      </c>
      <c r="B4536" s="6" t="s">
        <v>6295</v>
      </c>
      <c r="C4536" s="3224">
        <v>11119</v>
      </c>
      <c r="D4536" s="3224"/>
      <c r="E4536" s="3225">
        <v>0</v>
      </c>
      <c r="F4536" s="3226">
        <v>100</v>
      </c>
      <c r="G4536" s="3227">
        <v>0</v>
      </c>
    </row>
    <row r="4537" spans="1:7" x14ac:dyDescent="0.25">
      <c r="A4537" s="3353" t="s">
        <v>340</v>
      </c>
      <c r="B4537" s="3354"/>
      <c r="C4537" s="3354"/>
      <c r="D4537" s="3354"/>
      <c r="E4537" s="3354"/>
      <c r="F4537" s="3354"/>
      <c r="G4537" s="3354"/>
    </row>
    <row r="4538" spans="1:7" x14ac:dyDescent="0.25">
      <c r="A4538" s="11" t="s">
        <v>6293</v>
      </c>
      <c r="B4538" s="11" t="s">
        <v>6294</v>
      </c>
      <c r="C4538" s="3236">
        <v>11119</v>
      </c>
      <c r="D4538" s="3236"/>
      <c r="E4538" s="3237"/>
      <c r="F4538" s="3238"/>
      <c r="G4538" s="3239"/>
    </row>
    <row r="4539" spans="1:7" x14ac:dyDescent="0.25">
      <c r="A4539" s="6" t="s">
        <v>6293</v>
      </c>
      <c r="B4539" s="6" t="s">
        <v>6295</v>
      </c>
      <c r="C4539" s="3232">
        <v>11119</v>
      </c>
      <c r="D4539" s="3232"/>
      <c r="E4539" s="3233">
        <v>0</v>
      </c>
      <c r="F4539" s="3234">
        <v>100</v>
      </c>
      <c r="G4539" s="3235">
        <v>0</v>
      </c>
    </row>
    <row r="4540" spans="1:7" x14ac:dyDescent="0.25">
      <c r="A4540" s="3353" t="s">
        <v>359</v>
      </c>
      <c r="B4540" s="3354"/>
      <c r="C4540" s="3354"/>
      <c r="D4540" s="3354"/>
      <c r="E4540" s="3354"/>
      <c r="F4540" s="3354"/>
      <c r="G4540" s="3354"/>
    </row>
    <row r="4541" spans="1:7" x14ac:dyDescent="0.25">
      <c r="A4541" s="11" t="s">
        <v>6293</v>
      </c>
      <c r="B4541" s="11" t="s">
        <v>6294</v>
      </c>
      <c r="C4541" s="3244">
        <v>12171</v>
      </c>
      <c r="D4541" s="3244"/>
      <c r="E4541" s="3245"/>
      <c r="F4541" s="3246"/>
      <c r="G4541" s="3247"/>
    </row>
    <row r="4542" spans="1:7" x14ac:dyDescent="0.25">
      <c r="A4542" s="6" t="s">
        <v>6293</v>
      </c>
      <c r="B4542" s="6" t="s">
        <v>6295</v>
      </c>
      <c r="C4542" s="3240">
        <v>12171</v>
      </c>
      <c r="D4542" s="3240"/>
      <c r="E4542" s="3241">
        <v>0</v>
      </c>
      <c r="F4542" s="3242">
        <v>100</v>
      </c>
      <c r="G4542" s="3243">
        <v>0</v>
      </c>
    </row>
    <row r="4543" spans="1:7" x14ac:dyDescent="0.25">
      <c r="A4543" s="3353" t="s">
        <v>626</v>
      </c>
      <c r="B4543" s="3354"/>
      <c r="C4543" s="3354"/>
      <c r="D4543" s="3354"/>
      <c r="E4543" s="3354"/>
      <c r="F4543" s="3354"/>
      <c r="G4543" s="3354"/>
    </row>
    <row r="4544" spans="1:7" x14ac:dyDescent="0.25">
      <c r="A4544" s="11" t="s">
        <v>6293</v>
      </c>
      <c r="B4544" s="11" t="s">
        <v>6294</v>
      </c>
      <c r="C4544" s="3252">
        <v>11243</v>
      </c>
      <c r="D4544" s="3252"/>
      <c r="E4544" s="3253"/>
      <c r="F4544" s="3254"/>
      <c r="G4544" s="3255"/>
    </row>
    <row r="4545" spans="1:7" x14ac:dyDescent="0.25">
      <c r="A4545" s="6" t="s">
        <v>6293</v>
      </c>
      <c r="B4545" s="6" t="s">
        <v>6295</v>
      </c>
      <c r="C4545" s="3248">
        <v>11243</v>
      </c>
      <c r="D4545" s="3248"/>
      <c r="E4545" s="3249">
        <v>0</v>
      </c>
      <c r="F4545" s="3250">
        <v>100</v>
      </c>
      <c r="G4545" s="3251">
        <v>0</v>
      </c>
    </row>
    <row r="4546" spans="1:7" x14ac:dyDescent="0.25">
      <c r="A4546" s="3353" t="s">
        <v>102</v>
      </c>
      <c r="B4546" s="3354"/>
      <c r="C4546" s="3354"/>
      <c r="D4546" s="3354"/>
      <c r="E4546" s="3354"/>
      <c r="F4546" s="3354"/>
      <c r="G4546" s="3354"/>
    </row>
    <row r="4547" spans="1:7" x14ac:dyDescent="0.25">
      <c r="A4547" s="11" t="s">
        <v>996</v>
      </c>
      <c r="B4547" s="11" t="s">
        <v>997</v>
      </c>
      <c r="C4547" s="3260">
        <v>6</v>
      </c>
      <c r="D4547" s="3260"/>
      <c r="E4547" s="3261"/>
      <c r="F4547" s="3262"/>
      <c r="G4547" s="3263"/>
    </row>
    <row r="4548" spans="1:7" x14ac:dyDescent="0.25">
      <c r="A4548" s="6" t="s">
        <v>6293</v>
      </c>
      <c r="B4548" s="6" t="s">
        <v>6294</v>
      </c>
      <c r="C4548" s="3256">
        <v>13045</v>
      </c>
      <c r="D4548" s="3256"/>
      <c r="E4548" s="3257"/>
      <c r="F4548" s="3258"/>
      <c r="G4548" s="3259"/>
    </row>
    <row r="4549" spans="1:7" x14ac:dyDescent="0.25">
      <c r="A4549" s="11" t="s">
        <v>6293</v>
      </c>
      <c r="B4549" s="11" t="s">
        <v>6295</v>
      </c>
      <c r="C4549" s="3260">
        <v>13051</v>
      </c>
      <c r="D4549" s="3260"/>
      <c r="E4549" s="3261">
        <v>0</v>
      </c>
      <c r="F4549" s="3262">
        <v>100</v>
      </c>
      <c r="G4549" s="3263">
        <v>0</v>
      </c>
    </row>
    <row r="4550" spans="1:7" x14ac:dyDescent="0.25">
      <c r="A4550" s="3353" t="s">
        <v>622</v>
      </c>
      <c r="B4550" s="3354"/>
      <c r="C4550" s="3354"/>
      <c r="D4550" s="3354"/>
      <c r="E4550" s="3354"/>
      <c r="F4550" s="3354"/>
      <c r="G4550" s="3354"/>
    </row>
    <row r="4551" spans="1:7" x14ac:dyDescent="0.25">
      <c r="A4551" s="11" t="s">
        <v>6733</v>
      </c>
      <c r="B4551" s="11"/>
      <c r="C4551" s="3268">
        <v>1</v>
      </c>
      <c r="D4551" s="3268"/>
      <c r="E4551" s="3269"/>
      <c r="F4551" s="3270"/>
      <c r="G4551" s="3271"/>
    </row>
    <row r="4552" spans="1:7" x14ac:dyDescent="0.25">
      <c r="A4552" s="6" t="s">
        <v>6372</v>
      </c>
      <c r="B4552" s="6"/>
      <c r="C4552" s="3264">
        <v>12479</v>
      </c>
      <c r="D4552" s="3264"/>
      <c r="E4552" s="3265"/>
      <c r="F4552" s="3266"/>
      <c r="G4552" s="3267"/>
    </row>
    <row r="4553" spans="1:7" x14ac:dyDescent="0.25">
      <c r="A4553" s="11" t="s">
        <v>6734</v>
      </c>
      <c r="B4553" s="11"/>
      <c r="C4553" s="3268">
        <v>2</v>
      </c>
      <c r="D4553" s="3268"/>
      <c r="E4553" s="3269"/>
      <c r="F4553" s="3270"/>
      <c r="G4553" s="3271"/>
    </row>
    <row r="4554" spans="1:7" x14ac:dyDescent="0.25">
      <c r="A4554" s="6" t="s">
        <v>6735</v>
      </c>
      <c r="B4554" s="6"/>
      <c r="C4554" s="3264">
        <v>3</v>
      </c>
      <c r="D4554" s="3264"/>
      <c r="E4554" s="3265"/>
      <c r="F4554" s="3266"/>
      <c r="G4554" s="3267"/>
    </row>
    <row r="4555" spans="1:7" x14ac:dyDescent="0.25">
      <c r="A4555" s="11" t="s">
        <v>6736</v>
      </c>
      <c r="B4555" s="11"/>
      <c r="C4555" s="3268">
        <v>1</v>
      </c>
      <c r="D4555" s="3268"/>
      <c r="E4555" s="3269"/>
      <c r="F4555" s="3270"/>
      <c r="G4555" s="3271"/>
    </row>
    <row r="4556" spans="1:7" x14ac:dyDescent="0.25">
      <c r="A4556" s="6" t="s">
        <v>6737</v>
      </c>
      <c r="B4556" s="6"/>
      <c r="C4556" s="3264">
        <v>163</v>
      </c>
      <c r="D4556" s="3264"/>
      <c r="E4556" s="3265"/>
      <c r="F4556" s="3266"/>
      <c r="G4556" s="3267"/>
    </row>
    <row r="4557" spans="1:7" x14ac:dyDescent="0.25">
      <c r="A4557" s="11" t="s">
        <v>6385</v>
      </c>
      <c r="B4557" s="11"/>
      <c r="C4557" s="3268">
        <v>42</v>
      </c>
      <c r="D4557" s="3268"/>
      <c r="E4557" s="3269"/>
      <c r="F4557" s="3270"/>
      <c r="G4557" s="3271"/>
    </row>
    <row r="4558" spans="1:7" x14ac:dyDescent="0.25">
      <c r="A4558" s="6" t="s">
        <v>6738</v>
      </c>
      <c r="B4558" s="6"/>
      <c r="C4558" s="3264">
        <v>3</v>
      </c>
      <c r="D4558" s="3264"/>
      <c r="E4558" s="3265"/>
      <c r="F4558" s="3266"/>
      <c r="G4558" s="3267"/>
    </row>
    <row r="4559" spans="1:7" x14ac:dyDescent="0.25">
      <c r="A4559" s="11" t="s">
        <v>6739</v>
      </c>
      <c r="B4559" s="11"/>
      <c r="C4559" s="3268">
        <v>10</v>
      </c>
      <c r="D4559" s="3268"/>
      <c r="E4559" s="3269"/>
      <c r="F4559" s="3270"/>
      <c r="G4559" s="3271"/>
    </row>
    <row r="4560" spans="1:7" x14ac:dyDescent="0.25">
      <c r="A4560" s="6" t="s">
        <v>6379</v>
      </c>
      <c r="B4560" s="6"/>
      <c r="C4560" s="3264">
        <v>4</v>
      </c>
      <c r="D4560" s="3264"/>
      <c r="E4560" s="3265"/>
      <c r="F4560" s="3266"/>
      <c r="G4560" s="3267"/>
    </row>
    <row r="4561" spans="1:7" x14ac:dyDescent="0.25">
      <c r="A4561" s="11" t="s">
        <v>6740</v>
      </c>
      <c r="B4561" s="11"/>
      <c r="C4561" s="3268">
        <v>1</v>
      </c>
      <c r="D4561" s="3268"/>
      <c r="E4561" s="3269"/>
      <c r="F4561" s="3270"/>
      <c r="G4561" s="3271"/>
    </row>
    <row r="4562" spans="1:7" x14ac:dyDescent="0.25">
      <c r="A4562" s="6" t="s">
        <v>6383</v>
      </c>
      <c r="B4562" s="6"/>
      <c r="C4562" s="3264">
        <v>11</v>
      </c>
      <c r="D4562" s="3264"/>
      <c r="E4562" s="3265"/>
      <c r="F4562" s="3266"/>
      <c r="G4562" s="3267"/>
    </row>
    <row r="4563" spans="1:7" x14ac:dyDescent="0.25">
      <c r="A4563" s="11" t="s">
        <v>6741</v>
      </c>
      <c r="B4563" s="11"/>
      <c r="C4563" s="3268">
        <v>3</v>
      </c>
      <c r="D4563" s="3268"/>
      <c r="E4563" s="3269"/>
      <c r="F4563" s="3270"/>
      <c r="G4563" s="3271"/>
    </row>
    <row r="4564" spans="1:7" x14ac:dyDescent="0.25">
      <c r="A4564" s="6" t="s">
        <v>6742</v>
      </c>
      <c r="B4564" s="6"/>
      <c r="C4564" s="3264">
        <v>5</v>
      </c>
      <c r="D4564" s="3264"/>
      <c r="E4564" s="3265"/>
      <c r="F4564" s="3266"/>
      <c r="G4564" s="3267"/>
    </row>
    <row r="4565" spans="1:7" x14ac:dyDescent="0.25">
      <c r="A4565" s="11" t="s">
        <v>6380</v>
      </c>
      <c r="B4565" s="11"/>
      <c r="C4565" s="3268">
        <v>8</v>
      </c>
      <c r="D4565" s="3268"/>
      <c r="E4565" s="3269"/>
      <c r="F4565" s="3270"/>
      <c r="G4565" s="3271"/>
    </row>
    <row r="4566" spans="1:7" x14ac:dyDescent="0.25">
      <c r="A4566" s="6" t="s">
        <v>6743</v>
      </c>
      <c r="B4566" s="6"/>
      <c r="C4566" s="3264">
        <v>4</v>
      </c>
      <c r="D4566" s="3264"/>
      <c r="E4566" s="3265"/>
      <c r="F4566" s="3266"/>
      <c r="G4566" s="3267"/>
    </row>
    <row r="4567" spans="1:7" x14ac:dyDescent="0.25">
      <c r="A4567" s="11" t="s">
        <v>6744</v>
      </c>
      <c r="B4567" s="11"/>
      <c r="C4567" s="3268">
        <v>13</v>
      </c>
      <c r="D4567" s="3268"/>
      <c r="E4567" s="3269"/>
      <c r="F4567" s="3270"/>
      <c r="G4567" s="3271"/>
    </row>
    <row r="4568" spans="1:7" x14ac:dyDescent="0.25">
      <c r="A4568" s="6" t="s">
        <v>6745</v>
      </c>
      <c r="B4568" s="6"/>
      <c r="C4568" s="3264">
        <v>3</v>
      </c>
      <c r="D4568" s="3264"/>
      <c r="E4568" s="3265"/>
      <c r="F4568" s="3266"/>
      <c r="G4568" s="3267"/>
    </row>
    <row r="4569" spans="1:7" x14ac:dyDescent="0.25">
      <c r="A4569" s="11" t="s">
        <v>6374</v>
      </c>
      <c r="B4569" s="11"/>
      <c r="C4569" s="3268">
        <v>6</v>
      </c>
      <c r="D4569" s="3268"/>
      <c r="E4569" s="3269"/>
      <c r="F4569" s="3270"/>
      <c r="G4569" s="3271"/>
    </row>
    <row r="4570" spans="1:7" x14ac:dyDescent="0.25">
      <c r="A4570" s="6" t="s">
        <v>6746</v>
      </c>
      <c r="B4570" s="6"/>
      <c r="C4570" s="3264">
        <v>14</v>
      </c>
      <c r="D4570" s="3264"/>
      <c r="E4570" s="3265"/>
      <c r="F4570" s="3266"/>
      <c r="G4570" s="3267"/>
    </row>
    <row r="4571" spans="1:7" x14ac:dyDescent="0.25">
      <c r="A4571" s="11" t="s">
        <v>6376</v>
      </c>
      <c r="B4571" s="11"/>
      <c r="C4571" s="3268">
        <v>7</v>
      </c>
      <c r="D4571" s="3268"/>
      <c r="E4571" s="3269"/>
      <c r="F4571" s="3270"/>
      <c r="G4571" s="3271"/>
    </row>
    <row r="4572" spans="1:7" x14ac:dyDescent="0.25">
      <c r="A4572" s="6" t="s">
        <v>6373</v>
      </c>
      <c r="B4572" s="6"/>
      <c r="C4572" s="3264">
        <v>22</v>
      </c>
      <c r="D4572" s="3264"/>
      <c r="E4572" s="3265"/>
      <c r="F4572" s="3266"/>
      <c r="G4572" s="3267"/>
    </row>
    <row r="4573" spans="1:7" x14ac:dyDescent="0.25">
      <c r="A4573" s="11" t="s">
        <v>6747</v>
      </c>
      <c r="B4573" s="11"/>
      <c r="C4573" s="3268">
        <v>4</v>
      </c>
      <c r="D4573" s="3268"/>
      <c r="E4573" s="3269"/>
      <c r="F4573" s="3270"/>
      <c r="G4573" s="3271"/>
    </row>
    <row r="4574" spans="1:7" x14ac:dyDescent="0.25">
      <c r="A4574" s="6" t="s">
        <v>6378</v>
      </c>
      <c r="B4574" s="6"/>
      <c r="C4574" s="3264">
        <v>6</v>
      </c>
      <c r="D4574" s="3264"/>
      <c r="E4574" s="3265"/>
      <c r="F4574" s="3266"/>
      <c r="G4574" s="3267"/>
    </row>
    <row r="4575" spans="1:7" x14ac:dyDescent="0.25">
      <c r="A4575" s="11" t="s">
        <v>6382</v>
      </c>
      <c r="B4575" s="11"/>
      <c r="C4575" s="3268">
        <v>47</v>
      </c>
      <c r="D4575" s="3268"/>
      <c r="E4575" s="3269"/>
      <c r="F4575" s="3270"/>
      <c r="G4575" s="3271"/>
    </row>
    <row r="4576" spans="1:7" x14ac:dyDescent="0.25">
      <c r="A4576" s="6" t="s">
        <v>6384</v>
      </c>
      <c r="B4576" s="6"/>
      <c r="C4576" s="3264">
        <v>98</v>
      </c>
      <c r="D4576" s="3264"/>
      <c r="E4576" s="3265"/>
      <c r="F4576" s="3266"/>
      <c r="G4576" s="3267"/>
    </row>
    <row r="4577" spans="1:7" x14ac:dyDescent="0.25">
      <c r="A4577" s="11" t="s">
        <v>6748</v>
      </c>
      <c r="B4577" s="11"/>
      <c r="C4577" s="3268">
        <v>2</v>
      </c>
      <c r="D4577" s="3268"/>
      <c r="E4577" s="3269"/>
      <c r="F4577" s="3270"/>
      <c r="G4577" s="3271"/>
    </row>
    <row r="4578" spans="1:7" x14ac:dyDescent="0.25">
      <c r="A4578" s="6" t="s">
        <v>6749</v>
      </c>
      <c r="B4578" s="6"/>
      <c r="C4578" s="3264">
        <v>1</v>
      </c>
      <c r="D4578" s="3264"/>
      <c r="E4578" s="3265"/>
      <c r="F4578" s="3266"/>
      <c r="G4578" s="3267"/>
    </row>
    <row r="4579" spans="1:7" x14ac:dyDescent="0.25">
      <c r="A4579" s="11" t="s">
        <v>6377</v>
      </c>
      <c r="B4579" s="11"/>
      <c r="C4579" s="3268">
        <v>30</v>
      </c>
      <c r="D4579" s="3268"/>
      <c r="E4579" s="3269"/>
      <c r="F4579" s="3270"/>
      <c r="G4579" s="3271"/>
    </row>
    <row r="4580" spans="1:7" x14ac:dyDescent="0.25">
      <c r="A4580" s="6" t="s">
        <v>6750</v>
      </c>
      <c r="B4580" s="6"/>
      <c r="C4580" s="3264">
        <v>7</v>
      </c>
      <c r="D4580" s="3264"/>
      <c r="E4580" s="3265"/>
      <c r="F4580" s="3266"/>
      <c r="G4580" s="3267"/>
    </row>
    <row r="4581" spans="1:7" x14ac:dyDescent="0.25">
      <c r="A4581" s="11" t="s">
        <v>4180</v>
      </c>
      <c r="B4581" s="11"/>
      <c r="C4581" s="3268">
        <v>3</v>
      </c>
      <c r="D4581" s="3268"/>
      <c r="E4581" s="3269"/>
      <c r="F4581" s="3270"/>
      <c r="G4581" s="3271"/>
    </row>
    <row r="4582" spans="1:7" x14ac:dyDescent="0.25">
      <c r="A4582" s="6" t="s">
        <v>6751</v>
      </c>
      <c r="B4582" s="6"/>
      <c r="C4582" s="3264">
        <v>5</v>
      </c>
      <c r="D4582" s="3264"/>
      <c r="E4582" s="3265"/>
      <c r="F4582" s="3266"/>
      <c r="G4582" s="3267"/>
    </row>
    <row r="4583" spans="1:7" x14ac:dyDescent="0.25">
      <c r="A4583" s="11" t="s">
        <v>6752</v>
      </c>
      <c r="B4583" s="11"/>
      <c r="C4583" s="3268">
        <v>8</v>
      </c>
      <c r="D4583" s="3268"/>
      <c r="E4583" s="3269"/>
      <c r="F4583" s="3270"/>
      <c r="G4583" s="3271"/>
    </row>
    <row r="4584" spans="1:7" x14ac:dyDescent="0.25">
      <c r="A4584" s="6" t="s">
        <v>6381</v>
      </c>
      <c r="B4584" s="6"/>
      <c r="C4584" s="3264">
        <v>38</v>
      </c>
      <c r="D4584" s="3264"/>
      <c r="E4584" s="3265"/>
      <c r="F4584" s="3266"/>
      <c r="G4584" s="3267"/>
    </row>
    <row r="4585" spans="1:7" x14ac:dyDescent="0.25">
      <c r="A4585" s="11" t="s">
        <v>6753</v>
      </c>
      <c r="B4585" s="11"/>
      <c r="C4585" s="3268">
        <v>31</v>
      </c>
      <c r="D4585" s="3268"/>
      <c r="E4585" s="3269"/>
      <c r="F4585" s="3270"/>
      <c r="G4585" s="3271"/>
    </row>
    <row r="4586" spans="1:7" x14ac:dyDescent="0.25">
      <c r="A4586" s="6" t="s">
        <v>6754</v>
      </c>
      <c r="B4586" s="6"/>
      <c r="C4586" s="3264">
        <v>4</v>
      </c>
      <c r="D4586" s="3264"/>
      <c r="E4586" s="3265"/>
      <c r="F4586" s="3266"/>
      <c r="G4586" s="3267"/>
    </row>
    <row r="4587" spans="1:7" x14ac:dyDescent="0.25">
      <c r="A4587" s="11" t="s">
        <v>6375</v>
      </c>
      <c r="B4587" s="11"/>
      <c r="C4587" s="3268">
        <v>26</v>
      </c>
      <c r="D4587" s="3268"/>
      <c r="E4587" s="3269"/>
      <c r="F4587" s="3270"/>
      <c r="G4587" s="3271"/>
    </row>
    <row r="4588" spans="1:7" x14ac:dyDescent="0.25">
      <c r="A4588" s="6" t="s">
        <v>6755</v>
      </c>
      <c r="B4588" s="6"/>
      <c r="C4588" s="3264">
        <v>7</v>
      </c>
      <c r="D4588" s="3264"/>
      <c r="E4588" s="3265"/>
      <c r="F4588" s="3266"/>
      <c r="G4588" s="3267"/>
    </row>
    <row r="4589" spans="1:7" x14ac:dyDescent="0.25">
      <c r="A4589" s="11" t="s">
        <v>6756</v>
      </c>
      <c r="B4589" s="11"/>
      <c r="C4589" s="3268">
        <v>2</v>
      </c>
      <c r="D4589" s="3268"/>
      <c r="E4589" s="3269"/>
      <c r="F4589" s="3270"/>
      <c r="G4589" s="3271"/>
    </row>
    <row r="4590" spans="1:7" x14ac:dyDescent="0.25">
      <c r="A4590" s="6" t="s">
        <v>996</v>
      </c>
      <c r="B4590" s="6" t="s">
        <v>997</v>
      </c>
      <c r="C4590" s="3264">
        <v>2</v>
      </c>
      <c r="D4590" s="3264"/>
      <c r="E4590" s="3265"/>
      <c r="F4590" s="3266"/>
      <c r="G4590" s="3267"/>
    </row>
    <row r="4591" spans="1:7" x14ac:dyDescent="0.25">
      <c r="A4591" s="11" t="s">
        <v>6293</v>
      </c>
      <c r="B4591" s="11" t="s">
        <v>6294</v>
      </c>
      <c r="C4591" s="3268">
        <v>13124</v>
      </c>
      <c r="D4591" s="3268"/>
      <c r="E4591" s="3269"/>
      <c r="F4591" s="3270"/>
      <c r="G4591" s="3271"/>
    </row>
    <row r="4592" spans="1:7" x14ac:dyDescent="0.25">
      <c r="A4592" s="6" t="s">
        <v>6293</v>
      </c>
      <c r="B4592" s="6" t="s">
        <v>6295</v>
      </c>
      <c r="C4592" s="3264">
        <v>13126</v>
      </c>
      <c r="D4592" s="3264"/>
      <c r="E4592" s="3265">
        <v>0</v>
      </c>
      <c r="F4592" s="3266">
        <v>100</v>
      </c>
      <c r="G4592" s="3267">
        <v>0</v>
      </c>
    </row>
    <row r="4593" spans="1:7" x14ac:dyDescent="0.25">
      <c r="A4593" s="3353" t="s">
        <v>973</v>
      </c>
      <c r="B4593" s="3354"/>
      <c r="C4593" s="3354"/>
      <c r="D4593" s="3354"/>
      <c r="E4593" s="3354"/>
      <c r="F4593" s="3354"/>
      <c r="G4593" s="3354"/>
    </row>
    <row r="4594" spans="1:7" x14ac:dyDescent="0.25">
      <c r="A4594" s="11" t="s">
        <v>982</v>
      </c>
      <c r="B4594" s="11" t="s">
        <v>983</v>
      </c>
      <c r="C4594" s="3276">
        <v>4</v>
      </c>
      <c r="D4594" s="3276"/>
      <c r="E4594" s="3277"/>
      <c r="F4594" s="3278"/>
      <c r="G4594" s="3279"/>
    </row>
    <row r="4595" spans="1:7" x14ac:dyDescent="0.25">
      <c r="A4595" s="6" t="s">
        <v>996</v>
      </c>
      <c r="B4595" s="6" t="s">
        <v>997</v>
      </c>
      <c r="C4595" s="3272">
        <v>7</v>
      </c>
      <c r="D4595" s="3272"/>
      <c r="E4595" s="3273"/>
      <c r="F4595" s="3274"/>
      <c r="G4595" s="3275"/>
    </row>
    <row r="4596" spans="1:7" x14ac:dyDescent="0.25">
      <c r="A4596" s="11" t="s">
        <v>6293</v>
      </c>
      <c r="B4596" s="11" t="s">
        <v>6294</v>
      </c>
      <c r="C4596" s="3276">
        <v>13015</v>
      </c>
      <c r="D4596" s="3276"/>
      <c r="E4596" s="3277"/>
      <c r="F4596" s="3278"/>
      <c r="G4596" s="3279"/>
    </row>
    <row r="4597" spans="1:7" x14ac:dyDescent="0.25">
      <c r="A4597" s="6" t="s">
        <v>6293</v>
      </c>
      <c r="B4597" s="6" t="s">
        <v>6295</v>
      </c>
      <c r="C4597" s="3272">
        <v>13026</v>
      </c>
      <c r="D4597" s="3272"/>
      <c r="E4597" s="3273">
        <v>0</v>
      </c>
      <c r="F4597" s="3274">
        <v>100</v>
      </c>
      <c r="G4597" s="3275">
        <v>0</v>
      </c>
    </row>
    <row r="4598" spans="1:7" x14ac:dyDescent="0.25">
      <c r="A4598" s="3353" t="s">
        <v>131</v>
      </c>
      <c r="B4598" s="3354"/>
      <c r="C4598" s="3354"/>
      <c r="D4598" s="3354"/>
      <c r="E4598" s="3354"/>
      <c r="F4598" s="3354"/>
      <c r="G4598" s="3354"/>
    </row>
    <row r="4599" spans="1:7" x14ac:dyDescent="0.25">
      <c r="A4599" s="11" t="s">
        <v>6757</v>
      </c>
      <c r="B4599" s="11"/>
      <c r="C4599" s="3284">
        <v>5</v>
      </c>
      <c r="D4599" s="3284"/>
      <c r="E4599" s="3285"/>
      <c r="F4599" s="3286"/>
      <c r="G4599" s="3287"/>
    </row>
    <row r="4600" spans="1:7" x14ac:dyDescent="0.25">
      <c r="A4600" s="6" t="s">
        <v>6758</v>
      </c>
      <c r="B4600" s="6"/>
      <c r="C4600" s="3280">
        <v>1</v>
      </c>
      <c r="D4600" s="3280"/>
      <c r="E4600" s="3281"/>
      <c r="F4600" s="3282"/>
      <c r="G4600" s="3283"/>
    </row>
    <row r="4601" spans="1:7" x14ac:dyDescent="0.25">
      <c r="A4601" s="11" t="s">
        <v>6759</v>
      </c>
      <c r="B4601" s="11"/>
      <c r="C4601" s="3284">
        <v>1</v>
      </c>
      <c r="D4601" s="3284"/>
      <c r="E4601" s="3285"/>
      <c r="F4601" s="3286"/>
      <c r="G4601" s="3287"/>
    </row>
    <row r="4602" spans="1:7" x14ac:dyDescent="0.25">
      <c r="A4602" s="6" t="s">
        <v>6760</v>
      </c>
      <c r="B4602" s="6"/>
      <c r="C4602" s="3280">
        <v>7</v>
      </c>
      <c r="D4602" s="3280"/>
      <c r="E4602" s="3281"/>
      <c r="F4602" s="3282"/>
      <c r="G4602" s="3283"/>
    </row>
    <row r="4603" spans="1:7" x14ac:dyDescent="0.25">
      <c r="A4603" s="11" t="s">
        <v>6761</v>
      </c>
      <c r="B4603" s="11"/>
      <c r="C4603" s="3284">
        <v>1</v>
      </c>
      <c r="D4603" s="3284"/>
      <c r="E4603" s="3285"/>
      <c r="F4603" s="3286"/>
      <c r="G4603" s="3287"/>
    </row>
    <row r="4604" spans="1:7" x14ac:dyDescent="0.25">
      <c r="A4604" s="6" t="s">
        <v>6762</v>
      </c>
      <c r="B4604" s="6"/>
      <c r="C4604" s="3280">
        <v>1</v>
      </c>
      <c r="D4604" s="3280"/>
      <c r="E4604" s="3281"/>
      <c r="F4604" s="3282"/>
      <c r="G4604" s="3283"/>
    </row>
    <row r="4605" spans="1:7" x14ac:dyDescent="0.25">
      <c r="A4605" s="11" t="s">
        <v>6763</v>
      </c>
      <c r="B4605" s="11"/>
      <c r="C4605" s="3284">
        <v>13117</v>
      </c>
      <c r="D4605" s="3284"/>
      <c r="E4605" s="3285"/>
      <c r="F4605" s="3286"/>
      <c r="G4605" s="3287"/>
    </row>
    <row r="4606" spans="1:7" x14ac:dyDescent="0.25">
      <c r="A4606" s="6" t="s">
        <v>6293</v>
      </c>
      <c r="B4606" s="6" t="s">
        <v>6294</v>
      </c>
      <c r="C4606" s="3280">
        <v>13133</v>
      </c>
      <c r="D4606" s="3280"/>
      <c r="E4606" s="3281"/>
      <c r="F4606" s="3282"/>
      <c r="G4606" s="3283"/>
    </row>
    <row r="4607" spans="1:7" x14ac:dyDescent="0.25">
      <c r="A4607" s="11" t="s">
        <v>6293</v>
      </c>
      <c r="B4607" s="11" t="s">
        <v>6295</v>
      </c>
      <c r="C4607" s="3284">
        <v>13133</v>
      </c>
      <c r="D4607" s="3284"/>
      <c r="E4607" s="3285">
        <v>0</v>
      </c>
      <c r="F4607" s="3286">
        <v>100</v>
      </c>
      <c r="G4607" s="3287">
        <v>0</v>
      </c>
    </row>
    <row r="4608" spans="1:7" x14ac:dyDescent="0.25">
      <c r="A4608" s="3353" t="s">
        <v>201</v>
      </c>
      <c r="B4608" s="3354"/>
      <c r="C4608" s="3354"/>
      <c r="D4608" s="3354"/>
      <c r="E4608" s="3354"/>
      <c r="F4608" s="3354"/>
      <c r="G4608" s="3354"/>
    </row>
    <row r="4609" spans="1:7" x14ac:dyDescent="0.25">
      <c r="A4609" s="11" t="s">
        <v>6293</v>
      </c>
      <c r="B4609" s="11" t="s">
        <v>6294</v>
      </c>
      <c r="C4609" s="3292">
        <v>11218</v>
      </c>
      <c r="D4609" s="3292"/>
      <c r="E4609" s="3293"/>
      <c r="F4609" s="3294"/>
      <c r="G4609" s="3295"/>
    </row>
    <row r="4610" spans="1:7" x14ac:dyDescent="0.25">
      <c r="A4610" s="6" t="s">
        <v>6293</v>
      </c>
      <c r="B4610" s="6" t="s">
        <v>6295</v>
      </c>
      <c r="C4610" s="3288">
        <v>11218</v>
      </c>
      <c r="D4610" s="3288"/>
      <c r="E4610" s="3289">
        <v>0</v>
      </c>
      <c r="F4610" s="3290">
        <v>100</v>
      </c>
      <c r="G4610" s="3291">
        <v>0</v>
      </c>
    </row>
    <row r="4611" spans="1:7" x14ac:dyDescent="0.25">
      <c r="A4611" s="3353" t="s">
        <v>203</v>
      </c>
      <c r="B4611" s="3354"/>
      <c r="C4611" s="3354"/>
      <c r="D4611" s="3354"/>
      <c r="E4611" s="3354"/>
      <c r="F4611" s="3354"/>
      <c r="G4611" s="3354"/>
    </row>
    <row r="4612" spans="1:7" x14ac:dyDescent="0.25">
      <c r="A4612" s="11" t="s">
        <v>982</v>
      </c>
      <c r="B4612" s="11" t="s">
        <v>983</v>
      </c>
      <c r="C4612" s="3300">
        <v>17</v>
      </c>
      <c r="D4612" s="3300"/>
      <c r="E4612" s="3301"/>
      <c r="F4612" s="3302"/>
      <c r="G4612" s="3303"/>
    </row>
    <row r="4613" spans="1:7" x14ac:dyDescent="0.25">
      <c r="A4613" s="6" t="s">
        <v>6293</v>
      </c>
      <c r="B4613" s="6" t="s">
        <v>6294</v>
      </c>
      <c r="C4613" s="3296">
        <v>12697</v>
      </c>
      <c r="D4613" s="3296"/>
      <c r="E4613" s="3297"/>
      <c r="F4613" s="3298"/>
      <c r="G4613" s="3299"/>
    </row>
    <row r="4614" spans="1:7" x14ac:dyDescent="0.25">
      <c r="A4614" s="11" t="s">
        <v>6293</v>
      </c>
      <c r="B4614" s="11" t="s">
        <v>6295</v>
      </c>
      <c r="C4614" s="3300">
        <v>12714</v>
      </c>
      <c r="D4614" s="3300"/>
      <c r="E4614" s="3301">
        <v>0</v>
      </c>
      <c r="F4614" s="3302">
        <v>100</v>
      </c>
      <c r="G4614" s="3303">
        <v>0</v>
      </c>
    </row>
    <row r="4615" spans="1:7" x14ac:dyDescent="0.25">
      <c r="A4615" s="3353" t="s">
        <v>624</v>
      </c>
      <c r="B4615" s="3354"/>
      <c r="C4615" s="3354"/>
      <c r="D4615" s="3354"/>
      <c r="E4615" s="3354"/>
      <c r="F4615" s="3354"/>
      <c r="G4615" s="3354"/>
    </row>
    <row r="4616" spans="1:7" x14ac:dyDescent="0.25">
      <c r="A4616" s="11" t="s">
        <v>990</v>
      </c>
      <c r="B4616" s="11"/>
      <c r="C4616" s="3308">
        <v>12479</v>
      </c>
      <c r="D4616" s="3308"/>
      <c r="E4616" s="3309"/>
      <c r="F4616" s="3310"/>
      <c r="G4616" s="3311"/>
    </row>
    <row r="4617" spans="1:7" x14ac:dyDescent="0.25">
      <c r="A4617" s="6" t="s">
        <v>992</v>
      </c>
      <c r="B4617" s="6"/>
      <c r="C4617" s="3304">
        <v>1</v>
      </c>
      <c r="D4617" s="3304"/>
      <c r="E4617" s="3305"/>
      <c r="F4617" s="3306"/>
      <c r="G4617" s="3307"/>
    </row>
    <row r="4618" spans="1:7" x14ac:dyDescent="0.25">
      <c r="A4618" s="11" t="s">
        <v>994</v>
      </c>
      <c r="B4618" s="11"/>
      <c r="C4618" s="3308">
        <v>163</v>
      </c>
      <c r="D4618" s="3308"/>
      <c r="E4618" s="3309"/>
      <c r="F4618" s="3310"/>
      <c r="G4618" s="3311"/>
    </row>
    <row r="4619" spans="1:7" x14ac:dyDescent="0.25">
      <c r="A4619" s="6" t="s">
        <v>1013</v>
      </c>
      <c r="B4619" s="6"/>
      <c r="C4619" s="3304">
        <v>42</v>
      </c>
      <c r="D4619" s="3304"/>
      <c r="E4619" s="3305"/>
      <c r="F4619" s="3306"/>
      <c r="G4619" s="3307"/>
    </row>
    <row r="4620" spans="1:7" x14ac:dyDescent="0.25">
      <c r="A4620" s="11" t="s">
        <v>1019</v>
      </c>
      <c r="B4620" s="11"/>
      <c r="C4620" s="3308">
        <v>3</v>
      </c>
      <c r="D4620" s="3308"/>
      <c r="E4620" s="3309"/>
      <c r="F4620" s="3310"/>
      <c r="G4620" s="3311"/>
    </row>
    <row r="4621" spans="1:7" x14ac:dyDescent="0.25">
      <c r="A4621" s="6" t="s">
        <v>1021</v>
      </c>
      <c r="B4621" s="6"/>
      <c r="C4621" s="3304">
        <v>10</v>
      </c>
      <c r="D4621" s="3304"/>
      <c r="E4621" s="3305"/>
      <c r="F4621" s="3306"/>
      <c r="G4621" s="3307"/>
    </row>
    <row r="4622" spans="1:7" x14ac:dyDescent="0.25">
      <c r="A4622" s="11" t="s">
        <v>1023</v>
      </c>
      <c r="B4622" s="11"/>
      <c r="C4622" s="3308">
        <v>4</v>
      </c>
      <c r="D4622" s="3308"/>
      <c r="E4622" s="3309"/>
      <c r="F4622" s="3310"/>
      <c r="G4622" s="3311"/>
    </row>
    <row r="4623" spans="1:7" x14ac:dyDescent="0.25">
      <c r="A4623" s="6" t="s">
        <v>1027</v>
      </c>
      <c r="B4623" s="6"/>
      <c r="C4623" s="3304">
        <v>11</v>
      </c>
      <c r="D4623" s="3304"/>
      <c r="E4623" s="3305"/>
      <c r="F4623" s="3306"/>
      <c r="G4623" s="3307"/>
    </row>
    <row r="4624" spans="1:7" x14ac:dyDescent="0.25">
      <c r="A4624" s="11" t="s">
        <v>1031</v>
      </c>
      <c r="B4624" s="11"/>
      <c r="C4624" s="3308">
        <v>5</v>
      </c>
      <c r="D4624" s="3308"/>
      <c r="E4624" s="3309"/>
      <c r="F4624" s="3310"/>
      <c r="G4624" s="3311"/>
    </row>
    <row r="4625" spans="1:7" x14ac:dyDescent="0.25">
      <c r="A4625" s="6" t="s">
        <v>1035</v>
      </c>
      <c r="B4625" s="6"/>
      <c r="C4625" s="3304">
        <v>3</v>
      </c>
      <c r="D4625" s="3304"/>
      <c r="E4625" s="3305"/>
      <c r="F4625" s="3306"/>
      <c r="G4625" s="3307"/>
    </row>
    <row r="4626" spans="1:7" x14ac:dyDescent="0.25">
      <c r="A4626" s="11" t="s">
        <v>1177</v>
      </c>
      <c r="B4626" s="11"/>
      <c r="C4626" s="3308">
        <v>8</v>
      </c>
      <c r="D4626" s="3308"/>
      <c r="E4626" s="3309"/>
      <c r="F4626" s="3310"/>
      <c r="G4626" s="3311"/>
    </row>
    <row r="4627" spans="1:7" x14ac:dyDescent="0.25">
      <c r="A4627" s="6" t="s">
        <v>1069</v>
      </c>
      <c r="B4627" s="6"/>
      <c r="C4627" s="3304">
        <v>4</v>
      </c>
      <c r="D4627" s="3304"/>
      <c r="E4627" s="3305"/>
      <c r="F4627" s="3306"/>
      <c r="G4627" s="3307"/>
    </row>
    <row r="4628" spans="1:7" x14ac:dyDescent="0.25">
      <c r="A4628" s="11" t="s">
        <v>1075</v>
      </c>
      <c r="B4628" s="11"/>
      <c r="C4628" s="3308">
        <v>3</v>
      </c>
      <c r="D4628" s="3308"/>
      <c r="E4628" s="3309"/>
      <c r="F4628" s="3310"/>
      <c r="G4628" s="3311"/>
    </row>
    <row r="4629" spans="1:7" x14ac:dyDescent="0.25">
      <c r="A4629" s="6" t="s">
        <v>3054</v>
      </c>
      <c r="B4629" s="6"/>
      <c r="C4629" s="3304">
        <v>13</v>
      </c>
      <c r="D4629" s="3304"/>
      <c r="E4629" s="3305"/>
      <c r="F4629" s="3306"/>
      <c r="G4629" s="3307"/>
    </row>
    <row r="4630" spans="1:7" x14ac:dyDescent="0.25">
      <c r="A4630" s="11" t="s">
        <v>3056</v>
      </c>
      <c r="B4630" s="11"/>
      <c r="C4630" s="3308">
        <v>6</v>
      </c>
      <c r="D4630" s="3308"/>
      <c r="E4630" s="3309"/>
      <c r="F4630" s="3310"/>
      <c r="G4630" s="3311"/>
    </row>
    <row r="4631" spans="1:7" x14ac:dyDescent="0.25">
      <c r="A4631" s="6" t="s">
        <v>3058</v>
      </c>
      <c r="B4631" s="6"/>
      <c r="C4631" s="3304">
        <v>14</v>
      </c>
      <c r="D4631" s="3304"/>
      <c r="E4631" s="3305"/>
      <c r="F4631" s="3306"/>
      <c r="G4631" s="3307"/>
    </row>
    <row r="4632" spans="1:7" x14ac:dyDescent="0.25">
      <c r="A4632" s="11" t="s">
        <v>3062</v>
      </c>
      <c r="B4632" s="11"/>
      <c r="C4632" s="3308">
        <v>7</v>
      </c>
      <c r="D4632" s="3308"/>
      <c r="E4632" s="3309"/>
      <c r="F4632" s="3310"/>
      <c r="G4632" s="3311"/>
    </row>
    <row r="4633" spans="1:7" x14ac:dyDescent="0.25">
      <c r="A4633" s="6" t="s">
        <v>1179</v>
      </c>
      <c r="B4633" s="6"/>
      <c r="C4633" s="3304">
        <v>22</v>
      </c>
      <c r="D4633" s="3304"/>
      <c r="E4633" s="3305"/>
      <c r="F4633" s="3306"/>
      <c r="G4633" s="3307"/>
    </row>
    <row r="4634" spans="1:7" x14ac:dyDescent="0.25">
      <c r="A4634" s="11" t="s">
        <v>1077</v>
      </c>
      <c r="B4634" s="11"/>
      <c r="C4634" s="3308">
        <v>6</v>
      </c>
      <c r="D4634" s="3308"/>
      <c r="E4634" s="3309"/>
      <c r="F4634" s="3310"/>
      <c r="G4634" s="3311"/>
    </row>
    <row r="4635" spans="1:7" x14ac:dyDescent="0.25">
      <c r="A4635" s="6" t="s">
        <v>1079</v>
      </c>
      <c r="B4635" s="6"/>
      <c r="C4635" s="3304">
        <v>98</v>
      </c>
      <c r="D4635" s="3304"/>
      <c r="E4635" s="3305"/>
      <c r="F4635" s="3306"/>
      <c r="G4635" s="3307"/>
    </row>
    <row r="4636" spans="1:7" x14ac:dyDescent="0.25">
      <c r="A4636" s="11" t="s">
        <v>3069</v>
      </c>
      <c r="B4636" s="11"/>
      <c r="C4636" s="3308">
        <v>47</v>
      </c>
      <c r="D4636" s="3308"/>
      <c r="E4636" s="3309"/>
      <c r="F4636" s="3310"/>
      <c r="G4636" s="3311"/>
    </row>
    <row r="4637" spans="1:7" x14ac:dyDescent="0.25">
      <c r="A4637" s="6" t="s">
        <v>3073</v>
      </c>
      <c r="B4637" s="6"/>
      <c r="C4637" s="3304">
        <v>4</v>
      </c>
      <c r="D4637" s="3304"/>
      <c r="E4637" s="3305"/>
      <c r="F4637" s="3306"/>
      <c r="G4637" s="3307"/>
    </row>
    <row r="4638" spans="1:7" x14ac:dyDescent="0.25">
      <c r="A4638" s="11" t="s">
        <v>3077</v>
      </c>
      <c r="B4638" s="11"/>
      <c r="C4638" s="3308">
        <v>2</v>
      </c>
      <c r="D4638" s="3308"/>
      <c r="E4638" s="3309"/>
      <c r="F4638" s="3310"/>
      <c r="G4638" s="3311"/>
    </row>
    <row r="4639" spans="1:7" x14ac:dyDescent="0.25">
      <c r="A4639" s="6" t="s">
        <v>1085</v>
      </c>
      <c r="B4639" s="6"/>
      <c r="C4639" s="3304">
        <v>30</v>
      </c>
      <c r="D4639" s="3304"/>
      <c r="E4639" s="3305"/>
      <c r="F4639" s="3306"/>
      <c r="G4639" s="3307"/>
    </row>
    <row r="4640" spans="1:7" x14ac:dyDescent="0.25">
      <c r="A4640" s="11" t="s">
        <v>1087</v>
      </c>
      <c r="B4640" s="11"/>
      <c r="C4640" s="3308">
        <v>7</v>
      </c>
      <c r="D4640" s="3308"/>
      <c r="E4640" s="3309"/>
      <c r="F4640" s="3310"/>
      <c r="G4640" s="3311"/>
    </row>
    <row r="4641" spans="1:7" x14ac:dyDescent="0.25">
      <c r="A4641" s="6" t="s">
        <v>3083</v>
      </c>
      <c r="B4641" s="6"/>
      <c r="C4641" s="3304">
        <v>3</v>
      </c>
      <c r="D4641" s="3304"/>
      <c r="E4641" s="3305"/>
      <c r="F4641" s="3306"/>
      <c r="G4641" s="3307"/>
    </row>
    <row r="4642" spans="1:7" x14ac:dyDescent="0.25">
      <c r="A4642" s="11" t="s">
        <v>3087</v>
      </c>
      <c r="B4642" s="11"/>
      <c r="C4642" s="3308">
        <v>8</v>
      </c>
      <c r="D4642" s="3308"/>
      <c r="E4642" s="3309"/>
      <c r="F4642" s="3310"/>
      <c r="G4642" s="3311"/>
    </row>
    <row r="4643" spans="1:7" x14ac:dyDescent="0.25">
      <c r="A4643" s="6" t="s">
        <v>3089</v>
      </c>
      <c r="B4643" s="6"/>
      <c r="C4643" s="3304">
        <v>38</v>
      </c>
      <c r="D4643" s="3304"/>
      <c r="E4643" s="3305"/>
      <c r="F4643" s="3306"/>
      <c r="G4643" s="3307"/>
    </row>
    <row r="4644" spans="1:7" x14ac:dyDescent="0.25">
      <c r="A4644" s="11" t="s">
        <v>3091</v>
      </c>
      <c r="B4644" s="11"/>
      <c r="C4644" s="3308">
        <v>31</v>
      </c>
      <c r="D4644" s="3308"/>
      <c r="E4644" s="3309"/>
      <c r="F4644" s="3310"/>
      <c r="G4644" s="3311"/>
    </row>
    <row r="4645" spans="1:7" x14ac:dyDescent="0.25">
      <c r="A4645" s="6" t="s">
        <v>1093</v>
      </c>
      <c r="B4645" s="6"/>
      <c r="C4645" s="3304">
        <v>4</v>
      </c>
      <c r="D4645" s="3304"/>
      <c r="E4645" s="3305"/>
      <c r="F4645" s="3306"/>
      <c r="G4645" s="3307"/>
    </row>
    <row r="4646" spans="1:7" x14ac:dyDescent="0.25">
      <c r="A4646" s="11" t="s">
        <v>1097</v>
      </c>
      <c r="B4646" s="11"/>
      <c r="C4646" s="3308">
        <v>26</v>
      </c>
      <c r="D4646" s="3308"/>
      <c r="E4646" s="3309"/>
      <c r="F4646" s="3310"/>
      <c r="G4646" s="3311"/>
    </row>
    <row r="4647" spans="1:7" x14ac:dyDescent="0.25">
      <c r="A4647" s="6" t="s">
        <v>1099</v>
      </c>
      <c r="B4647" s="6"/>
      <c r="C4647" s="3304">
        <v>2</v>
      </c>
      <c r="D4647" s="3304"/>
      <c r="E4647" s="3305"/>
      <c r="F4647" s="3306"/>
      <c r="G4647" s="3307"/>
    </row>
    <row r="4648" spans="1:7" x14ac:dyDescent="0.25">
      <c r="A4648" s="11" t="s">
        <v>3097</v>
      </c>
      <c r="B4648" s="11"/>
      <c r="C4648" s="3308">
        <v>7</v>
      </c>
      <c r="D4648" s="3308"/>
      <c r="E4648" s="3309"/>
      <c r="F4648" s="3310"/>
      <c r="G4648" s="3311"/>
    </row>
    <row r="4649" spans="1:7" x14ac:dyDescent="0.25">
      <c r="A4649" s="6" t="s">
        <v>982</v>
      </c>
      <c r="B4649" s="6"/>
      <c r="C4649" s="3304">
        <v>17</v>
      </c>
      <c r="D4649" s="3304"/>
      <c r="E4649" s="3305"/>
      <c r="F4649" s="3306"/>
      <c r="G4649" s="3307"/>
    </row>
    <row r="4650" spans="1:7" x14ac:dyDescent="0.25">
      <c r="A4650" s="11" t="s">
        <v>6293</v>
      </c>
      <c r="B4650" s="11" t="s">
        <v>6294</v>
      </c>
      <c r="C4650" s="3308">
        <v>13111</v>
      </c>
      <c r="D4650" s="3308"/>
      <c r="E4650" s="3309"/>
      <c r="F4650" s="3310"/>
      <c r="G4650" s="3311"/>
    </row>
    <row r="4651" spans="1:7" x14ac:dyDescent="0.25">
      <c r="A4651" s="6" t="s">
        <v>6293</v>
      </c>
      <c r="B4651" s="6" t="s">
        <v>6295</v>
      </c>
      <c r="C4651" s="3304">
        <v>13128</v>
      </c>
      <c r="D4651" s="3304"/>
      <c r="E4651" s="3305">
        <v>0</v>
      </c>
      <c r="F4651" s="3306">
        <v>100</v>
      </c>
      <c r="G4651" s="3307">
        <v>0</v>
      </c>
    </row>
    <row r="4652" spans="1:7" x14ac:dyDescent="0.25">
      <c r="A4652" s="3353" t="s">
        <v>108</v>
      </c>
      <c r="B4652" s="3354"/>
      <c r="C4652" s="3354"/>
      <c r="D4652" s="3354"/>
      <c r="E4652" s="3354"/>
      <c r="F4652" s="3354"/>
      <c r="G4652" s="3354"/>
    </row>
    <row r="4653" spans="1:7" x14ac:dyDescent="0.25">
      <c r="A4653" s="11" t="s">
        <v>6764</v>
      </c>
      <c r="B4653" s="11"/>
      <c r="C4653" s="3316">
        <v>140</v>
      </c>
      <c r="D4653" s="3316"/>
      <c r="E4653" s="3317"/>
      <c r="F4653" s="3318"/>
      <c r="G4653" s="3319"/>
    </row>
    <row r="4654" spans="1:7" x14ac:dyDescent="0.25">
      <c r="A4654" s="6" t="s">
        <v>6765</v>
      </c>
      <c r="B4654" s="6"/>
      <c r="C4654" s="3312">
        <v>1039</v>
      </c>
      <c r="D4654" s="3312"/>
      <c r="E4654" s="3313"/>
      <c r="F4654" s="3314"/>
      <c r="G4654" s="3315"/>
    </row>
    <row r="4655" spans="1:7" x14ac:dyDescent="0.25">
      <c r="A4655" s="11" t="s">
        <v>6766</v>
      </c>
      <c r="B4655" s="11"/>
      <c r="C4655" s="3316">
        <v>997</v>
      </c>
      <c r="D4655" s="3316"/>
      <c r="E4655" s="3317"/>
      <c r="F4655" s="3318"/>
      <c r="G4655" s="3319"/>
    </row>
    <row r="4656" spans="1:7" x14ac:dyDescent="0.25">
      <c r="A4656" s="6" t="s">
        <v>6767</v>
      </c>
      <c r="B4656" s="6"/>
      <c r="C4656" s="3312">
        <v>335</v>
      </c>
      <c r="D4656" s="3312"/>
      <c r="E4656" s="3313"/>
      <c r="F4656" s="3314"/>
      <c r="G4656" s="3315"/>
    </row>
    <row r="4657" spans="1:7" x14ac:dyDescent="0.25">
      <c r="A4657" s="11" t="s">
        <v>6768</v>
      </c>
      <c r="B4657" s="11"/>
      <c r="C4657" s="3316">
        <v>165</v>
      </c>
      <c r="D4657" s="3316"/>
      <c r="E4657" s="3317"/>
      <c r="F4657" s="3318"/>
      <c r="G4657" s="3319"/>
    </row>
    <row r="4658" spans="1:7" x14ac:dyDescent="0.25">
      <c r="A4658" s="6" t="s">
        <v>6769</v>
      </c>
      <c r="B4658" s="6"/>
      <c r="C4658" s="3312">
        <v>80</v>
      </c>
      <c r="D4658" s="3312"/>
      <c r="E4658" s="3313"/>
      <c r="F4658" s="3314"/>
      <c r="G4658" s="3315"/>
    </row>
    <row r="4659" spans="1:7" x14ac:dyDescent="0.25">
      <c r="A4659" s="11" t="s">
        <v>6770</v>
      </c>
      <c r="B4659" s="11"/>
      <c r="C4659" s="3316">
        <v>94</v>
      </c>
      <c r="D4659" s="3316"/>
      <c r="E4659" s="3317"/>
      <c r="F4659" s="3318"/>
      <c r="G4659" s="3319"/>
    </row>
    <row r="4660" spans="1:7" x14ac:dyDescent="0.25">
      <c r="A4660" s="6" t="s">
        <v>6771</v>
      </c>
      <c r="B4660" s="6"/>
      <c r="C4660" s="3312">
        <v>3185</v>
      </c>
      <c r="D4660" s="3312"/>
      <c r="E4660" s="3313"/>
      <c r="F4660" s="3314"/>
      <c r="G4660" s="3315"/>
    </row>
    <row r="4661" spans="1:7" x14ac:dyDescent="0.25">
      <c r="A4661" s="11" t="s">
        <v>6772</v>
      </c>
      <c r="B4661" s="11"/>
      <c r="C4661" s="3316">
        <v>1544</v>
      </c>
      <c r="D4661" s="3316"/>
      <c r="E4661" s="3317"/>
      <c r="F4661" s="3318"/>
      <c r="G4661" s="3319"/>
    </row>
    <row r="4662" spans="1:7" x14ac:dyDescent="0.25">
      <c r="A4662" s="6" t="s">
        <v>6773</v>
      </c>
      <c r="B4662" s="6"/>
      <c r="C4662" s="3312">
        <v>528</v>
      </c>
      <c r="D4662" s="3312"/>
      <c r="E4662" s="3313"/>
      <c r="F4662" s="3314"/>
      <c r="G4662" s="3315"/>
    </row>
    <row r="4663" spans="1:7" x14ac:dyDescent="0.25">
      <c r="A4663" s="11" t="s">
        <v>6774</v>
      </c>
      <c r="B4663" s="11"/>
      <c r="C4663" s="3316">
        <v>1204</v>
      </c>
      <c r="D4663" s="3316"/>
      <c r="E4663" s="3317"/>
      <c r="F4663" s="3318"/>
      <c r="G4663" s="3319"/>
    </row>
    <row r="4664" spans="1:7" x14ac:dyDescent="0.25">
      <c r="A4664" s="6" t="s">
        <v>6775</v>
      </c>
      <c r="B4664" s="6"/>
      <c r="C4664" s="3312">
        <v>176</v>
      </c>
      <c r="D4664" s="3312"/>
      <c r="E4664" s="3313"/>
      <c r="F4664" s="3314"/>
      <c r="G4664" s="3315"/>
    </row>
    <row r="4665" spans="1:7" x14ac:dyDescent="0.25">
      <c r="A4665" s="11" t="s">
        <v>6776</v>
      </c>
      <c r="B4665" s="11"/>
      <c r="C4665" s="3316">
        <v>164</v>
      </c>
      <c r="D4665" s="3316"/>
      <c r="E4665" s="3317"/>
      <c r="F4665" s="3318"/>
      <c r="G4665" s="3319"/>
    </row>
    <row r="4666" spans="1:7" x14ac:dyDescent="0.25">
      <c r="A4666" s="6" t="s">
        <v>6777</v>
      </c>
      <c r="B4666" s="6"/>
      <c r="C4666" s="3312">
        <v>1989</v>
      </c>
      <c r="D4666" s="3312"/>
      <c r="E4666" s="3313"/>
      <c r="F4666" s="3314"/>
      <c r="G4666" s="3315"/>
    </row>
    <row r="4667" spans="1:7" x14ac:dyDescent="0.25">
      <c r="A4667" s="11" t="s">
        <v>6778</v>
      </c>
      <c r="B4667" s="11"/>
      <c r="C4667" s="3316">
        <v>1055</v>
      </c>
      <c r="D4667" s="3316"/>
      <c r="E4667" s="3317"/>
      <c r="F4667" s="3318"/>
      <c r="G4667" s="3319"/>
    </row>
    <row r="4668" spans="1:7" x14ac:dyDescent="0.25">
      <c r="A4668" s="6" t="s">
        <v>6779</v>
      </c>
      <c r="B4668" s="6"/>
      <c r="C4668" s="3312">
        <v>27</v>
      </c>
      <c r="D4668" s="3312"/>
      <c r="E4668" s="3313"/>
      <c r="F4668" s="3314"/>
      <c r="G4668" s="3315"/>
    </row>
    <row r="4669" spans="1:7" x14ac:dyDescent="0.25">
      <c r="A4669" s="11" t="s">
        <v>6780</v>
      </c>
      <c r="B4669" s="11"/>
      <c r="C4669" s="3316">
        <v>28</v>
      </c>
      <c r="D4669" s="3316"/>
      <c r="E4669" s="3317"/>
      <c r="F4669" s="3318"/>
      <c r="G4669" s="3319"/>
    </row>
    <row r="4670" spans="1:7" x14ac:dyDescent="0.25">
      <c r="A4670" s="6" t="s">
        <v>6781</v>
      </c>
      <c r="B4670" s="6"/>
      <c r="C4670" s="3312">
        <v>10</v>
      </c>
      <c r="D4670" s="3312"/>
      <c r="E4670" s="3313"/>
      <c r="F4670" s="3314"/>
      <c r="G4670" s="3315"/>
    </row>
    <row r="4671" spans="1:7" x14ac:dyDescent="0.25">
      <c r="A4671" s="11" t="s">
        <v>6782</v>
      </c>
      <c r="B4671" s="11"/>
      <c r="C4671" s="3316">
        <v>22</v>
      </c>
      <c r="D4671" s="3316"/>
      <c r="E4671" s="3317"/>
      <c r="F4671" s="3318"/>
      <c r="G4671" s="3319"/>
    </row>
    <row r="4672" spans="1:7" x14ac:dyDescent="0.25">
      <c r="A4672" s="6" t="s">
        <v>6783</v>
      </c>
      <c r="B4672" s="6"/>
      <c r="C4672" s="3312">
        <v>29</v>
      </c>
      <c r="D4672" s="3312"/>
      <c r="E4672" s="3313"/>
      <c r="F4672" s="3314"/>
      <c r="G4672" s="3315"/>
    </row>
    <row r="4673" spans="1:7" x14ac:dyDescent="0.25">
      <c r="A4673" s="11" t="s">
        <v>6784</v>
      </c>
      <c r="B4673" s="11"/>
      <c r="C4673" s="3316">
        <v>14</v>
      </c>
      <c r="D4673" s="3316"/>
      <c r="E4673" s="3317"/>
      <c r="F4673" s="3318"/>
      <c r="G4673" s="3319"/>
    </row>
    <row r="4674" spans="1:7" x14ac:dyDescent="0.25">
      <c r="A4674" s="6" t="s">
        <v>6785</v>
      </c>
      <c r="B4674" s="6"/>
      <c r="C4674" s="3312">
        <v>14</v>
      </c>
      <c r="D4674" s="3312"/>
      <c r="E4674" s="3313"/>
      <c r="F4674" s="3314"/>
      <c r="G4674" s="3315"/>
    </row>
    <row r="4675" spans="1:7" x14ac:dyDescent="0.25">
      <c r="A4675" s="11" t="s">
        <v>6786</v>
      </c>
      <c r="B4675" s="11"/>
      <c r="C4675" s="3316">
        <v>2</v>
      </c>
      <c r="D4675" s="3316"/>
      <c r="E4675" s="3317"/>
      <c r="F4675" s="3318"/>
      <c r="G4675" s="3319"/>
    </row>
    <row r="4676" spans="1:7" x14ac:dyDescent="0.25">
      <c r="A4676" s="6" t="s">
        <v>6787</v>
      </c>
      <c r="B4676" s="6"/>
      <c r="C4676" s="3312">
        <v>3</v>
      </c>
      <c r="D4676" s="3312"/>
      <c r="E4676" s="3313"/>
      <c r="F4676" s="3314"/>
      <c r="G4676" s="3315"/>
    </row>
    <row r="4677" spans="1:7" x14ac:dyDescent="0.25">
      <c r="A4677" s="11" t="s">
        <v>6788</v>
      </c>
      <c r="B4677" s="11"/>
      <c r="C4677" s="3316">
        <v>5</v>
      </c>
      <c r="D4677" s="3316"/>
      <c r="E4677" s="3317"/>
      <c r="F4677" s="3318"/>
      <c r="G4677" s="3319"/>
    </row>
    <row r="4678" spans="1:7" x14ac:dyDescent="0.25">
      <c r="A4678" s="6" t="s">
        <v>6789</v>
      </c>
      <c r="B4678" s="6"/>
      <c r="C4678" s="3312">
        <v>7</v>
      </c>
      <c r="D4678" s="3312"/>
      <c r="E4678" s="3313"/>
      <c r="F4678" s="3314"/>
      <c r="G4678" s="3315"/>
    </row>
    <row r="4679" spans="1:7" x14ac:dyDescent="0.25">
      <c r="A4679" s="11" t="s">
        <v>6790</v>
      </c>
      <c r="B4679" s="11"/>
      <c r="C4679" s="3316">
        <v>10</v>
      </c>
      <c r="D4679" s="3316"/>
      <c r="E4679" s="3317"/>
      <c r="F4679" s="3318"/>
      <c r="G4679" s="3319"/>
    </row>
    <row r="4680" spans="1:7" x14ac:dyDescent="0.25">
      <c r="A4680" s="6" t="s">
        <v>6791</v>
      </c>
      <c r="B4680" s="6"/>
      <c r="C4680" s="3312">
        <v>24</v>
      </c>
      <c r="D4680" s="3312"/>
      <c r="E4680" s="3313"/>
      <c r="F4680" s="3314"/>
      <c r="G4680" s="3315"/>
    </row>
    <row r="4681" spans="1:7" x14ac:dyDescent="0.25">
      <c r="A4681" s="11" t="s">
        <v>6792</v>
      </c>
      <c r="B4681" s="11"/>
      <c r="C4681" s="3316">
        <v>1</v>
      </c>
      <c r="D4681" s="3316"/>
      <c r="E4681" s="3317"/>
      <c r="F4681" s="3318"/>
      <c r="G4681" s="3319"/>
    </row>
    <row r="4682" spans="1:7" x14ac:dyDescent="0.25">
      <c r="A4682" s="6" t="s">
        <v>6793</v>
      </c>
      <c r="B4682" s="6"/>
      <c r="C4682" s="3312">
        <v>2</v>
      </c>
      <c r="D4682" s="3312"/>
      <c r="E4682" s="3313"/>
      <c r="F4682" s="3314"/>
      <c r="G4682" s="3315"/>
    </row>
    <row r="4683" spans="1:7" x14ac:dyDescent="0.25">
      <c r="A4683" s="11" t="s">
        <v>6794</v>
      </c>
      <c r="B4683" s="11"/>
      <c r="C4683" s="3316">
        <v>23</v>
      </c>
      <c r="D4683" s="3316"/>
      <c r="E4683" s="3317"/>
      <c r="F4683" s="3318"/>
      <c r="G4683" s="3319"/>
    </row>
    <row r="4684" spans="1:7" x14ac:dyDescent="0.25">
      <c r="A4684" s="6" t="s">
        <v>6795</v>
      </c>
      <c r="B4684" s="6"/>
      <c r="C4684" s="3312">
        <v>1</v>
      </c>
      <c r="D4684" s="3312"/>
      <c r="E4684" s="3313"/>
      <c r="F4684" s="3314"/>
      <c r="G4684" s="3315"/>
    </row>
    <row r="4685" spans="1:7" x14ac:dyDescent="0.25">
      <c r="A4685" s="11" t="s">
        <v>6796</v>
      </c>
      <c r="B4685" s="11"/>
      <c r="C4685" s="3316">
        <v>4</v>
      </c>
      <c r="D4685" s="3316"/>
      <c r="E4685" s="3317"/>
      <c r="F4685" s="3318"/>
      <c r="G4685" s="3319"/>
    </row>
    <row r="4686" spans="1:7" x14ac:dyDescent="0.25">
      <c r="A4686" s="6" t="s">
        <v>6797</v>
      </c>
      <c r="B4686" s="6"/>
      <c r="C4686" s="3312">
        <v>32</v>
      </c>
      <c r="D4686" s="3312"/>
      <c r="E4686" s="3313"/>
      <c r="F4686" s="3314"/>
      <c r="G4686" s="3315"/>
    </row>
    <row r="4687" spans="1:7" x14ac:dyDescent="0.25">
      <c r="A4687" s="11" t="s">
        <v>6798</v>
      </c>
      <c r="B4687" s="11"/>
      <c r="C4687" s="3316">
        <v>9</v>
      </c>
      <c r="D4687" s="3316"/>
      <c r="E4687" s="3317"/>
      <c r="F4687" s="3318"/>
      <c r="G4687" s="3319"/>
    </row>
    <row r="4688" spans="1:7" x14ac:dyDescent="0.25">
      <c r="A4688" s="6" t="s">
        <v>6799</v>
      </c>
      <c r="B4688" s="6"/>
      <c r="C4688" s="3312">
        <v>22</v>
      </c>
      <c r="D4688" s="3312"/>
      <c r="E4688" s="3313"/>
      <c r="F4688" s="3314"/>
      <c r="G4688" s="3315"/>
    </row>
    <row r="4689" spans="1:7" x14ac:dyDescent="0.25">
      <c r="A4689" s="11" t="s">
        <v>6800</v>
      </c>
      <c r="B4689" s="11"/>
      <c r="C4689" s="3316">
        <v>7</v>
      </c>
      <c r="D4689" s="3316"/>
      <c r="E4689" s="3317"/>
      <c r="F4689" s="3318"/>
      <c r="G4689" s="3319"/>
    </row>
    <row r="4690" spans="1:7" x14ac:dyDescent="0.25">
      <c r="A4690" s="6" t="s">
        <v>6801</v>
      </c>
      <c r="B4690" s="6"/>
      <c r="C4690" s="3312">
        <v>3</v>
      </c>
      <c r="D4690" s="3312"/>
      <c r="E4690" s="3313"/>
      <c r="F4690" s="3314"/>
      <c r="G4690" s="3315"/>
    </row>
    <row r="4691" spans="1:7" x14ac:dyDescent="0.25">
      <c r="A4691" s="11" t="s">
        <v>6802</v>
      </c>
      <c r="B4691" s="11"/>
      <c r="C4691" s="3316">
        <v>3</v>
      </c>
      <c r="D4691" s="3316"/>
      <c r="E4691" s="3317"/>
      <c r="F4691" s="3318"/>
      <c r="G4691" s="3319"/>
    </row>
    <row r="4692" spans="1:7" x14ac:dyDescent="0.25">
      <c r="A4692" s="6" t="s">
        <v>6803</v>
      </c>
      <c r="B4692" s="6"/>
      <c r="C4692" s="3312">
        <v>5</v>
      </c>
      <c r="D4692" s="3312"/>
      <c r="E4692" s="3313"/>
      <c r="F4692" s="3314"/>
      <c r="G4692" s="3315"/>
    </row>
    <row r="4693" spans="1:7" x14ac:dyDescent="0.25">
      <c r="A4693" s="11" t="s">
        <v>6804</v>
      </c>
      <c r="B4693" s="11"/>
      <c r="C4693" s="3316">
        <v>4</v>
      </c>
      <c r="D4693" s="3316"/>
      <c r="E4693" s="3317"/>
      <c r="F4693" s="3318"/>
      <c r="G4693" s="3319"/>
    </row>
    <row r="4694" spans="1:7" x14ac:dyDescent="0.25">
      <c r="A4694" s="6" t="s">
        <v>6805</v>
      </c>
      <c r="B4694" s="6"/>
      <c r="C4694" s="3312">
        <v>3</v>
      </c>
      <c r="D4694" s="3312"/>
      <c r="E4694" s="3313"/>
      <c r="F4694" s="3314"/>
      <c r="G4694" s="3315"/>
    </row>
    <row r="4695" spans="1:7" x14ac:dyDescent="0.25">
      <c r="A4695" s="11" t="s">
        <v>6806</v>
      </c>
      <c r="B4695" s="11"/>
      <c r="C4695" s="3316">
        <v>5</v>
      </c>
      <c r="D4695" s="3316"/>
      <c r="E4695" s="3317"/>
      <c r="F4695" s="3318"/>
      <c r="G4695" s="3319"/>
    </row>
    <row r="4696" spans="1:7" x14ac:dyDescent="0.25">
      <c r="A4696" s="6" t="s">
        <v>6807</v>
      </c>
      <c r="B4696" s="6"/>
      <c r="C4696" s="3312">
        <v>4</v>
      </c>
      <c r="D4696" s="3312"/>
      <c r="E4696" s="3313"/>
      <c r="F4696" s="3314"/>
      <c r="G4696" s="3315"/>
    </row>
    <row r="4697" spans="1:7" x14ac:dyDescent="0.25">
      <c r="A4697" s="11" t="s">
        <v>6808</v>
      </c>
      <c r="B4697" s="11"/>
      <c r="C4697" s="3316">
        <v>6</v>
      </c>
      <c r="D4697" s="3316"/>
      <c r="E4697" s="3317"/>
      <c r="F4697" s="3318"/>
      <c r="G4697" s="3319"/>
    </row>
    <row r="4698" spans="1:7" x14ac:dyDescent="0.25">
      <c r="A4698" s="6" t="s">
        <v>6809</v>
      </c>
      <c r="B4698" s="6"/>
      <c r="C4698" s="3312">
        <v>1</v>
      </c>
      <c r="D4698" s="3312"/>
      <c r="E4698" s="3313"/>
      <c r="F4698" s="3314"/>
      <c r="G4698" s="3315"/>
    </row>
    <row r="4699" spans="1:7" x14ac:dyDescent="0.25">
      <c r="A4699" s="11" t="s">
        <v>6810</v>
      </c>
      <c r="B4699" s="11"/>
      <c r="C4699" s="3316">
        <v>7</v>
      </c>
      <c r="D4699" s="3316"/>
      <c r="E4699" s="3317"/>
      <c r="F4699" s="3318"/>
      <c r="G4699" s="3319"/>
    </row>
    <row r="4700" spans="1:7" x14ac:dyDescent="0.25">
      <c r="A4700" s="6" t="s">
        <v>6811</v>
      </c>
      <c r="B4700" s="6"/>
      <c r="C4700" s="3312">
        <v>3</v>
      </c>
      <c r="D4700" s="3312"/>
      <c r="E4700" s="3313"/>
      <c r="F4700" s="3314"/>
      <c r="G4700" s="3315"/>
    </row>
    <row r="4701" spans="1:7" x14ac:dyDescent="0.25">
      <c r="A4701" s="11" t="s">
        <v>6812</v>
      </c>
      <c r="B4701" s="11"/>
      <c r="C4701" s="3316">
        <v>6</v>
      </c>
      <c r="D4701" s="3316"/>
      <c r="E4701" s="3317"/>
      <c r="F4701" s="3318"/>
      <c r="G4701" s="3319"/>
    </row>
    <row r="4702" spans="1:7" x14ac:dyDescent="0.25">
      <c r="A4702" s="6" t="s">
        <v>6813</v>
      </c>
      <c r="B4702" s="6"/>
      <c r="C4702" s="3312">
        <v>9</v>
      </c>
      <c r="D4702" s="3312"/>
      <c r="E4702" s="3313"/>
      <c r="F4702" s="3314"/>
      <c r="G4702" s="3315"/>
    </row>
    <row r="4703" spans="1:7" x14ac:dyDescent="0.25">
      <c r="A4703" s="11" t="s">
        <v>6814</v>
      </c>
      <c r="B4703" s="11"/>
      <c r="C4703" s="3316">
        <v>1</v>
      </c>
      <c r="D4703" s="3316"/>
      <c r="E4703" s="3317"/>
      <c r="F4703" s="3318"/>
      <c r="G4703" s="3319"/>
    </row>
    <row r="4704" spans="1:7" x14ac:dyDescent="0.25">
      <c r="A4704" s="6" t="s">
        <v>6815</v>
      </c>
      <c r="B4704" s="6"/>
      <c r="C4704" s="3312">
        <v>1</v>
      </c>
      <c r="D4704" s="3312"/>
      <c r="E4704" s="3313"/>
      <c r="F4704" s="3314"/>
      <c r="G4704" s="3315"/>
    </row>
    <row r="4705" spans="1:7" x14ac:dyDescent="0.25">
      <c r="A4705" s="11" t="s">
        <v>6816</v>
      </c>
      <c r="B4705" s="11"/>
      <c r="C4705" s="3316">
        <v>5</v>
      </c>
      <c r="D4705" s="3316"/>
      <c r="E4705" s="3317"/>
      <c r="F4705" s="3318"/>
      <c r="G4705" s="3319"/>
    </row>
    <row r="4706" spans="1:7" x14ac:dyDescent="0.25">
      <c r="A4706" s="6" t="s">
        <v>6817</v>
      </c>
      <c r="B4706" s="6"/>
      <c r="C4706" s="3312">
        <v>2</v>
      </c>
      <c r="D4706" s="3312"/>
      <c r="E4706" s="3313"/>
      <c r="F4706" s="3314"/>
      <c r="G4706" s="3315"/>
    </row>
    <row r="4707" spans="1:7" x14ac:dyDescent="0.25">
      <c r="A4707" s="11" t="s">
        <v>6818</v>
      </c>
      <c r="B4707" s="11"/>
      <c r="C4707" s="3316">
        <v>2</v>
      </c>
      <c r="D4707" s="3316"/>
      <c r="E4707" s="3317"/>
      <c r="F4707" s="3318"/>
      <c r="G4707" s="3319"/>
    </row>
    <row r="4708" spans="1:7" x14ac:dyDescent="0.25">
      <c r="A4708" s="6" t="s">
        <v>6819</v>
      </c>
      <c r="B4708" s="6"/>
      <c r="C4708" s="3312">
        <v>2</v>
      </c>
      <c r="D4708" s="3312"/>
      <c r="E4708" s="3313"/>
      <c r="F4708" s="3314"/>
      <c r="G4708" s="3315"/>
    </row>
    <row r="4709" spans="1:7" x14ac:dyDescent="0.25">
      <c r="A4709" s="11" t="s">
        <v>6820</v>
      </c>
      <c r="B4709" s="11"/>
      <c r="C4709" s="3316">
        <v>3</v>
      </c>
      <c r="D4709" s="3316"/>
      <c r="E4709" s="3317"/>
      <c r="F4709" s="3318"/>
      <c r="G4709" s="3319"/>
    </row>
    <row r="4710" spans="1:7" x14ac:dyDescent="0.25">
      <c r="A4710" s="6" t="s">
        <v>6821</v>
      </c>
      <c r="B4710" s="6"/>
      <c r="C4710" s="3312">
        <v>8</v>
      </c>
      <c r="D4710" s="3312"/>
      <c r="E4710" s="3313"/>
      <c r="F4710" s="3314"/>
      <c r="G4710" s="3315"/>
    </row>
    <row r="4711" spans="1:7" x14ac:dyDescent="0.25">
      <c r="A4711" s="11" t="s">
        <v>6822</v>
      </c>
      <c r="B4711" s="11"/>
      <c r="C4711" s="3316">
        <v>1</v>
      </c>
      <c r="D4711" s="3316"/>
      <c r="E4711" s="3317"/>
      <c r="F4711" s="3318"/>
      <c r="G4711" s="3319"/>
    </row>
    <row r="4712" spans="1:7" x14ac:dyDescent="0.25">
      <c r="A4712" s="6" t="s">
        <v>6823</v>
      </c>
      <c r="B4712" s="6"/>
      <c r="C4712" s="3312">
        <v>1</v>
      </c>
      <c r="D4712" s="3312"/>
      <c r="E4712" s="3313"/>
      <c r="F4712" s="3314"/>
      <c r="G4712" s="3315"/>
    </row>
    <row r="4713" spans="1:7" x14ac:dyDescent="0.25">
      <c r="A4713" s="11" t="s">
        <v>6824</v>
      </c>
      <c r="B4713" s="11"/>
      <c r="C4713" s="3316">
        <v>1</v>
      </c>
      <c r="D4713" s="3316"/>
      <c r="E4713" s="3317"/>
      <c r="F4713" s="3318"/>
      <c r="G4713" s="3319"/>
    </row>
    <row r="4714" spans="1:7" x14ac:dyDescent="0.25">
      <c r="A4714" s="6" t="s">
        <v>6825</v>
      </c>
      <c r="B4714" s="6"/>
      <c r="C4714" s="3312">
        <v>1</v>
      </c>
      <c r="D4714" s="3312"/>
      <c r="E4714" s="3313"/>
      <c r="F4714" s="3314"/>
      <c r="G4714" s="3315"/>
    </row>
    <row r="4715" spans="1:7" x14ac:dyDescent="0.25">
      <c r="A4715" s="11" t="s">
        <v>6826</v>
      </c>
      <c r="B4715" s="11"/>
      <c r="C4715" s="3316">
        <v>2</v>
      </c>
      <c r="D4715" s="3316"/>
      <c r="E4715" s="3317"/>
      <c r="F4715" s="3318"/>
      <c r="G4715" s="3319"/>
    </row>
    <row r="4716" spans="1:7" x14ac:dyDescent="0.25">
      <c r="A4716" s="6" t="s">
        <v>6827</v>
      </c>
      <c r="B4716" s="6"/>
      <c r="C4716" s="3312">
        <v>1</v>
      </c>
      <c r="D4716" s="3312"/>
      <c r="E4716" s="3313"/>
      <c r="F4716" s="3314"/>
      <c r="G4716" s="3315"/>
    </row>
    <row r="4717" spans="1:7" x14ac:dyDescent="0.25">
      <c r="A4717" s="11" t="s">
        <v>6828</v>
      </c>
      <c r="B4717" s="11"/>
      <c r="C4717" s="3316">
        <v>3</v>
      </c>
      <c r="D4717" s="3316"/>
      <c r="E4717" s="3317"/>
      <c r="F4717" s="3318"/>
      <c r="G4717" s="3319"/>
    </row>
    <row r="4718" spans="1:7" x14ac:dyDescent="0.25">
      <c r="A4718" s="6" t="s">
        <v>6829</v>
      </c>
      <c r="B4718" s="6"/>
      <c r="C4718" s="3312">
        <v>1</v>
      </c>
      <c r="D4718" s="3312"/>
      <c r="E4718" s="3313"/>
      <c r="F4718" s="3314"/>
      <c r="G4718" s="3315"/>
    </row>
    <row r="4719" spans="1:7" x14ac:dyDescent="0.25">
      <c r="A4719" s="11" t="s">
        <v>6830</v>
      </c>
      <c r="B4719" s="11"/>
      <c r="C4719" s="3316">
        <v>3</v>
      </c>
      <c r="D4719" s="3316"/>
      <c r="E4719" s="3317"/>
      <c r="F4719" s="3318"/>
      <c r="G4719" s="3319"/>
    </row>
    <row r="4720" spans="1:7" x14ac:dyDescent="0.25">
      <c r="A4720" s="6" t="s">
        <v>6831</v>
      </c>
      <c r="B4720" s="6"/>
      <c r="C4720" s="3312">
        <v>1</v>
      </c>
      <c r="D4720" s="3312"/>
      <c r="E4720" s="3313"/>
      <c r="F4720" s="3314"/>
      <c r="G4720" s="3315"/>
    </row>
    <row r="4721" spans="1:7" x14ac:dyDescent="0.25">
      <c r="A4721" s="11" t="s">
        <v>6832</v>
      </c>
      <c r="B4721" s="11"/>
      <c r="C4721" s="3316">
        <v>1</v>
      </c>
      <c r="D4721" s="3316"/>
      <c r="E4721" s="3317"/>
      <c r="F4721" s="3318"/>
      <c r="G4721" s="3319"/>
    </row>
    <row r="4722" spans="1:7" x14ac:dyDescent="0.25">
      <c r="A4722" s="6" t="s">
        <v>6833</v>
      </c>
      <c r="B4722" s="6"/>
      <c r="C4722" s="3312">
        <v>5</v>
      </c>
      <c r="D4722" s="3312"/>
      <c r="E4722" s="3313"/>
      <c r="F4722" s="3314"/>
      <c r="G4722" s="3315"/>
    </row>
    <row r="4723" spans="1:7" x14ac:dyDescent="0.25">
      <c r="A4723" s="11" t="s">
        <v>6834</v>
      </c>
      <c r="B4723" s="11"/>
      <c r="C4723" s="3316">
        <v>1</v>
      </c>
      <c r="D4723" s="3316"/>
      <c r="E4723" s="3317"/>
      <c r="F4723" s="3318"/>
      <c r="G4723" s="3319"/>
    </row>
    <row r="4724" spans="1:7" x14ac:dyDescent="0.25">
      <c r="A4724" s="6" t="s">
        <v>6670</v>
      </c>
      <c r="B4724" s="6"/>
      <c r="C4724" s="3312">
        <v>1</v>
      </c>
      <c r="D4724" s="3312"/>
      <c r="E4724" s="3313"/>
      <c r="F4724" s="3314"/>
      <c r="G4724" s="3315"/>
    </row>
    <row r="4725" spans="1:7" x14ac:dyDescent="0.25">
      <c r="A4725" s="11" t="s">
        <v>6835</v>
      </c>
      <c r="B4725" s="11"/>
      <c r="C4725" s="3316">
        <v>4</v>
      </c>
      <c r="D4725" s="3316"/>
      <c r="E4725" s="3317"/>
      <c r="F4725" s="3318"/>
      <c r="G4725" s="3319"/>
    </row>
    <row r="4726" spans="1:7" x14ac:dyDescent="0.25">
      <c r="A4726" s="6" t="s">
        <v>6836</v>
      </c>
      <c r="B4726" s="6"/>
      <c r="C4726" s="3312">
        <v>6</v>
      </c>
      <c r="D4726" s="3312"/>
      <c r="E4726" s="3313"/>
      <c r="F4726" s="3314"/>
      <c r="G4726" s="3315"/>
    </row>
    <row r="4727" spans="1:7" x14ac:dyDescent="0.25">
      <c r="A4727" s="11" t="s">
        <v>6837</v>
      </c>
      <c r="B4727" s="11"/>
      <c r="C4727" s="3316">
        <v>2</v>
      </c>
      <c r="D4727" s="3316"/>
      <c r="E4727" s="3317"/>
      <c r="F4727" s="3318"/>
      <c r="G4727" s="3319"/>
    </row>
    <row r="4728" spans="1:7" x14ac:dyDescent="0.25">
      <c r="A4728" s="6" t="s">
        <v>4467</v>
      </c>
      <c r="B4728" s="6"/>
      <c r="C4728" s="3312">
        <v>2</v>
      </c>
      <c r="D4728" s="3312"/>
      <c r="E4728" s="3313"/>
      <c r="F4728" s="3314"/>
      <c r="G4728" s="3315"/>
    </row>
    <row r="4729" spans="1:7" x14ac:dyDescent="0.25">
      <c r="A4729" s="11" t="s">
        <v>982</v>
      </c>
      <c r="B4729" s="11" t="s">
        <v>983</v>
      </c>
      <c r="C4729" s="3316">
        <v>17</v>
      </c>
      <c r="D4729" s="3316"/>
      <c r="E4729" s="3317"/>
      <c r="F4729" s="3318"/>
      <c r="G4729" s="3319"/>
    </row>
    <row r="4730" spans="1:7" x14ac:dyDescent="0.25">
      <c r="A4730" s="6" t="s">
        <v>6293</v>
      </c>
      <c r="B4730" s="6" t="s">
        <v>6294</v>
      </c>
      <c r="C4730" s="3312">
        <v>13111</v>
      </c>
      <c r="D4730" s="3312"/>
      <c r="E4730" s="3313"/>
      <c r="F4730" s="3314"/>
      <c r="G4730" s="3315"/>
    </row>
    <row r="4731" spans="1:7" x14ac:dyDescent="0.25">
      <c r="A4731" s="11" t="s">
        <v>6293</v>
      </c>
      <c r="B4731" s="11" t="s">
        <v>6295</v>
      </c>
      <c r="C4731" s="3316">
        <v>13128</v>
      </c>
      <c r="D4731" s="3316"/>
      <c r="E4731" s="3317">
        <v>0</v>
      </c>
      <c r="F4731" s="3318">
        <v>100</v>
      </c>
      <c r="G4731" s="3319">
        <v>0</v>
      </c>
    </row>
    <row r="4732" spans="1:7" x14ac:dyDescent="0.25">
      <c r="A4732" s="3353" t="s">
        <v>712</v>
      </c>
      <c r="B4732" s="3354"/>
      <c r="C4732" s="3354"/>
      <c r="D4732" s="3354"/>
      <c r="E4732" s="3354"/>
      <c r="F4732" s="3354"/>
      <c r="G4732" s="3354"/>
    </row>
    <row r="4733" spans="1:7" x14ac:dyDescent="0.25">
      <c r="A4733" s="11" t="s">
        <v>982</v>
      </c>
      <c r="B4733" s="11" t="s">
        <v>983</v>
      </c>
      <c r="C4733" s="3324">
        <v>17</v>
      </c>
      <c r="D4733" s="3324"/>
      <c r="E4733" s="3325"/>
      <c r="F4733" s="3326"/>
      <c r="G4733" s="3327"/>
    </row>
    <row r="4734" spans="1:7" x14ac:dyDescent="0.25">
      <c r="A4734" s="6" t="s">
        <v>6293</v>
      </c>
      <c r="B4734" s="6" t="s">
        <v>6294</v>
      </c>
      <c r="C4734" s="3320">
        <v>12970</v>
      </c>
      <c r="D4734" s="3320"/>
      <c r="E4734" s="3321"/>
      <c r="F4734" s="3322"/>
      <c r="G4734" s="3323"/>
    </row>
    <row r="4735" spans="1:7" x14ac:dyDescent="0.25">
      <c r="A4735" s="11" t="s">
        <v>6293</v>
      </c>
      <c r="B4735" s="11" t="s">
        <v>6295</v>
      </c>
      <c r="C4735" s="3324">
        <v>12987</v>
      </c>
      <c r="D4735" s="3324"/>
      <c r="E4735" s="3325">
        <v>0</v>
      </c>
      <c r="F4735" s="3326">
        <v>100</v>
      </c>
      <c r="G4735" s="3327">
        <v>0</v>
      </c>
    </row>
    <row r="4736" spans="1:7" x14ac:dyDescent="0.25">
      <c r="A4736" s="3353" t="s">
        <v>77</v>
      </c>
      <c r="B4736" s="3354"/>
      <c r="C4736" s="3354"/>
      <c r="D4736" s="3354"/>
      <c r="E4736" s="3354"/>
      <c r="F4736" s="3354"/>
      <c r="G4736" s="3354"/>
    </row>
    <row r="4737" spans="1:7" x14ac:dyDescent="0.25">
      <c r="A4737" s="11" t="s">
        <v>6296</v>
      </c>
      <c r="B4737" s="11"/>
      <c r="C4737" s="3332">
        <v>5677</v>
      </c>
      <c r="D4737" s="3332"/>
      <c r="E4737" s="3333"/>
      <c r="F4737" s="3334"/>
      <c r="G4737" s="3335"/>
    </row>
    <row r="4738" spans="1:7" x14ac:dyDescent="0.25">
      <c r="A4738" s="6" t="s">
        <v>6298</v>
      </c>
      <c r="B4738" s="6"/>
      <c r="C4738" s="3328">
        <v>4160</v>
      </c>
      <c r="D4738" s="3328"/>
      <c r="E4738" s="3329"/>
      <c r="F4738" s="3330"/>
      <c r="G4738" s="3331"/>
    </row>
    <row r="4739" spans="1:7" x14ac:dyDescent="0.25">
      <c r="A4739" s="11" t="s">
        <v>6297</v>
      </c>
      <c r="B4739" s="11"/>
      <c r="C4739" s="3332">
        <v>2212</v>
      </c>
      <c r="D4739" s="3332"/>
      <c r="E4739" s="3333"/>
      <c r="F4739" s="3334"/>
      <c r="G4739" s="3335"/>
    </row>
    <row r="4740" spans="1:7" x14ac:dyDescent="0.25">
      <c r="A4740" s="6" t="s">
        <v>6300</v>
      </c>
      <c r="B4740" s="6"/>
      <c r="C4740" s="3328">
        <v>847</v>
      </c>
      <c r="D4740" s="3328"/>
      <c r="E4740" s="3329"/>
      <c r="F4740" s="3330"/>
      <c r="G4740" s="3331"/>
    </row>
    <row r="4741" spans="1:7" x14ac:dyDescent="0.25">
      <c r="A4741" s="11" t="s">
        <v>6299</v>
      </c>
      <c r="B4741" s="11"/>
      <c r="C4741" s="3332">
        <v>171</v>
      </c>
      <c r="D4741" s="3332"/>
      <c r="E4741" s="3333"/>
      <c r="F4741" s="3334"/>
      <c r="G4741" s="3335"/>
    </row>
    <row r="4742" spans="1:7" x14ac:dyDescent="0.25">
      <c r="A4742" s="6" t="s">
        <v>6301</v>
      </c>
      <c r="B4742" s="6"/>
      <c r="C4742" s="3328">
        <v>42</v>
      </c>
      <c r="D4742" s="3328"/>
      <c r="E4742" s="3329"/>
      <c r="F4742" s="3330"/>
      <c r="G4742" s="3331"/>
    </row>
    <row r="4743" spans="1:7" x14ac:dyDescent="0.25">
      <c r="A4743" s="11" t="s">
        <v>6302</v>
      </c>
      <c r="B4743" s="11"/>
      <c r="C4743" s="3332">
        <v>8</v>
      </c>
      <c r="D4743" s="3332"/>
      <c r="E4743" s="3333"/>
      <c r="F4743" s="3334"/>
      <c r="G4743" s="3335"/>
    </row>
    <row r="4744" spans="1:7" x14ac:dyDescent="0.25">
      <c r="A4744" s="6" t="s">
        <v>982</v>
      </c>
      <c r="B4744" s="6" t="s">
        <v>983</v>
      </c>
      <c r="C4744" s="3328">
        <v>17</v>
      </c>
      <c r="D4744" s="3328"/>
      <c r="E4744" s="3329"/>
      <c r="F4744" s="3330"/>
      <c r="G4744" s="3331"/>
    </row>
    <row r="4745" spans="1:7" x14ac:dyDescent="0.25">
      <c r="A4745" s="11" t="s">
        <v>6293</v>
      </c>
      <c r="B4745" s="11" t="s">
        <v>6294</v>
      </c>
      <c r="C4745" s="3332">
        <v>13117</v>
      </c>
      <c r="D4745" s="3332"/>
      <c r="E4745" s="3333"/>
      <c r="F4745" s="3334"/>
      <c r="G4745" s="3335"/>
    </row>
    <row r="4746" spans="1:7" x14ac:dyDescent="0.25">
      <c r="A4746" s="6" t="s">
        <v>6293</v>
      </c>
      <c r="B4746" s="6" t="s">
        <v>6295</v>
      </c>
      <c r="C4746" s="3328">
        <v>13134</v>
      </c>
      <c r="D4746" s="3328"/>
      <c r="E4746" s="3329">
        <v>0</v>
      </c>
      <c r="F4746" s="3330">
        <v>100</v>
      </c>
      <c r="G4746" s="3331">
        <v>0</v>
      </c>
    </row>
    <row r="4747" spans="1:7" x14ac:dyDescent="0.25">
      <c r="A4747" s="3353" t="s">
        <v>94</v>
      </c>
      <c r="B4747" s="3354"/>
      <c r="C4747" s="3354"/>
      <c r="D4747" s="3354"/>
      <c r="E4747" s="3354"/>
      <c r="F4747" s="3354"/>
      <c r="G4747" s="3354"/>
    </row>
    <row r="4748" spans="1:7" x14ac:dyDescent="0.25">
      <c r="A4748" s="11" t="s">
        <v>982</v>
      </c>
      <c r="B4748" s="11" t="s">
        <v>983</v>
      </c>
      <c r="C4748" s="3340">
        <v>330</v>
      </c>
      <c r="D4748" s="3340"/>
      <c r="E4748" s="3341"/>
      <c r="F4748" s="3342"/>
      <c r="G4748" s="3343"/>
    </row>
    <row r="4749" spans="1:7" x14ac:dyDescent="0.25">
      <c r="A4749" s="6" t="s">
        <v>6293</v>
      </c>
      <c r="B4749" s="6" t="s">
        <v>6294</v>
      </c>
      <c r="C4749" s="3336">
        <v>12768</v>
      </c>
      <c r="D4749" s="3336"/>
      <c r="E4749" s="3337"/>
      <c r="F4749" s="3338"/>
      <c r="G4749" s="3339"/>
    </row>
    <row r="4750" spans="1:7" x14ac:dyDescent="0.25">
      <c r="A4750" s="11" t="s">
        <v>6293</v>
      </c>
      <c r="B4750" s="11" t="s">
        <v>6295</v>
      </c>
      <c r="C4750" s="3340">
        <v>13098</v>
      </c>
      <c r="D4750" s="3340"/>
      <c r="E4750" s="3341">
        <v>0</v>
      </c>
      <c r="F4750" s="3342">
        <v>100</v>
      </c>
      <c r="G4750" s="3343">
        <v>0</v>
      </c>
    </row>
    <row r="4751" spans="1:7" x14ac:dyDescent="0.25">
      <c r="A4751" s="3353" t="s">
        <v>133</v>
      </c>
      <c r="B4751" s="3354"/>
      <c r="C4751" s="3354"/>
      <c r="D4751" s="3354"/>
      <c r="E4751" s="3354"/>
      <c r="F4751" s="3354"/>
      <c r="G4751" s="3354"/>
    </row>
    <row r="4752" spans="1:7" x14ac:dyDescent="0.25">
      <c r="A4752" s="11" t="s">
        <v>6838</v>
      </c>
      <c r="B4752" s="11"/>
      <c r="C4752" s="3348">
        <v>15</v>
      </c>
      <c r="D4752" s="3348"/>
      <c r="E4752" s="3349"/>
      <c r="F4752" s="3350"/>
      <c r="G4752" s="3351"/>
    </row>
    <row r="4753" spans="1:7" x14ac:dyDescent="0.25">
      <c r="A4753" s="6" t="s">
        <v>6839</v>
      </c>
      <c r="B4753" s="6"/>
      <c r="C4753" s="3344">
        <v>1</v>
      </c>
      <c r="D4753" s="3344"/>
      <c r="E4753" s="3345"/>
      <c r="F4753" s="3346"/>
      <c r="G4753" s="3347"/>
    </row>
    <row r="4754" spans="1:7" x14ac:dyDescent="0.25">
      <c r="A4754" s="11" t="s">
        <v>5117</v>
      </c>
      <c r="B4754" s="11"/>
      <c r="C4754" s="3348">
        <v>4</v>
      </c>
      <c r="D4754" s="3348"/>
      <c r="E4754" s="3349"/>
      <c r="F4754" s="3350"/>
      <c r="G4754" s="3351"/>
    </row>
    <row r="4755" spans="1:7" x14ac:dyDescent="0.25">
      <c r="A4755" s="6" t="s">
        <v>6840</v>
      </c>
      <c r="B4755" s="6"/>
      <c r="C4755" s="3344">
        <v>2</v>
      </c>
      <c r="D4755" s="3344"/>
      <c r="E4755" s="3345"/>
      <c r="F4755" s="3346"/>
      <c r="G4755" s="3347"/>
    </row>
    <row r="4756" spans="1:7" x14ac:dyDescent="0.25">
      <c r="A4756" s="11" t="s">
        <v>6841</v>
      </c>
      <c r="B4756" s="11"/>
      <c r="C4756" s="3348">
        <v>13</v>
      </c>
      <c r="D4756" s="3348"/>
      <c r="E4756" s="3349"/>
      <c r="F4756" s="3350"/>
      <c r="G4756" s="3351"/>
    </row>
    <row r="4757" spans="1:7" x14ac:dyDescent="0.25">
      <c r="A4757" s="6" t="s">
        <v>6842</v>
      </c>
      <c r="B4757" s="6"/>
      <c r="C4757" s="3344">
        <v>2</v>
      </c>
      <c r="D4757" s="3344"/>
      <c r="E4757" s="3345"/>
      <c r="F4757" s="3346"/>
      <c r="G4757" s="3347"/>
    </row>
    <row r="4758" spans="1:7" x14ac:dyDescent="0.25">
      <c r="A4758" s="11" t="s">
        <v>6843</v>
      </c>
      <c r="B4758" s="11"/>
      <c r="C4758" s="3348">
        <v>1</v>
      </c>
      <c r="D4758" s="3348"/>
      <c r="E4758" s="3349"/>
      <c r="F4758" s="3350"/>
      <c r="G4758" s="3351"/>
    </row>
    <row r="4759" spans="1:7" x14ac:dyDescent="0.25">
      <c r="A4759" s="6" t="s">
        <v>6844</v>
      </c>
      <c r="B4759" s="6"/>
      <c r="C4759" s="3344">
        <v>5</v>
      </c>
      <c r="D4759" s="3344"/>
      <c r="E4759" s="3345"/>
      <c r="F4759" s="3346"/>
      <c r="G4759" s="3347"/>
    </row>
    <row r="4760" spans="1:7" x14ac:dyDescent="0.25">
      <c r="A4760" s="11" t="s">
        <v>6845</v>
      </c>
      <c r="B4760" s="11"/>
      <c r="C4760" s="3348">
        <v>1</v>
      </c>
      <c r="D4760" s="3348"/>
      <c r="E4760" s="3349"/>
      <c r="F4760" s="3350"/>
      <c r="G4760" s="3351"/>
    </row>
    <row r="4761" spans="1:7" x14ac:dyDescent="0.25">
      <c r="A4761" s="6" t="s">
        <v>6846</v>
      </c>
      <c r="B4761" s="6"/>
      <c r="C4761" s="3344">
        <v>1</v>
      </c>
      <c r="D4761" s="3344"/>
      <c r="E4761" s="3345"/>
      <c r="F4761" s="3346"/>
      <c r="G4761" s="3347"/>
    </row>
    <row r="4762" spans="1:7" x14ac:dyDescent="0.25">
      <c r="A4762" s="11" t="s">
        <v>6847</v>
      </c>
      <c r="B4762" s="11"/>
      <c r="C4762" s="3348">
        <v>16</v>
      </c>
      <c r="D4762" s="3348"/>
      <c r="E4762" s="3349"/>
      <c r="F4762" s="3350"/>
      <c r="G4762" s="3351"/>
    </row>
    <row r="4763" spans="1:7" x14ac:dyDescent="0.25">
      <c r="A4763" s="6" t="s">
        <v>6848</v>
      </c>
      <c r="B4763" s="6"/>
      <c r="C4763" s="3344">
        <v>28</v>
      </c>
      <c r="D4763" s="3344"/>
      <c r="E4763" s="3345"/>
      <c r="F4763" s="3346"/>
      <c r="G4763" s="3347"/>
    </row>
    <row r="4764" spans="1:7" x14ac:dyDescent="0.25">
      <c r="A4764" s="11" t="s">
        <v>6849</v>
      </c>
      <c r="B4764" s="11"/>
      <c r="C4764" s="3348">
        <v>3</v>
      </c>
      <c r="D4764" s="3348"/>
      <c r="E4764" s="3349"/>
      <c r="F4764" s="3350"/>
      <c r="G4764" s="3351"/>
    </row>
    <row r="4765" spans="1:7" x14ac:dyDescent="0.25">
      <c r="A4765" s="6" t="s">
        <v>6469</v>
      </c>
      <c r="B4765" s="6"/>
      <c r="C4765" s="3344">
        <v>1</v>
      </c>
      <c r="D4765" s="3344"/>
      <c r="E4765" s="3345"/>
      <c r="F4765" s="3346"/>
      <c r="G4765" s="3347"/>
    </row>
    <row r="4766" spans="1:7" x14ac:dyDescent="0.25">
      <c r="A4766" s="11" t="s">
        <v>6850</v>
      </c>
      <c r="B4766" s="11"/>
      <c r="C4766" s="3348">
        <v>10</v>
      </c>
      <c r="D4766" s="3348"/>
      <c r="E4766" s="3349"/>
      <c r="F4766" s="3350"/>
      <c r="G4766" s="3351"/>
    </row>
    <row r="4767" spans="1:7" x14ac:dyDescent="0.25">
      <c r="A4767" s="6" t="s">
        <v>6851</v>
      </c>
      <c r="B4767" s="6"/>
      <c r="C4767" s="3344">
        <v>7</v>
      </c>
      <c r="D4767" s="3344"/>
      <c r="E4767" s="3345"/>
      <c r="F4767" s="3346"/>
      <c r="G4767" s="3347"/>
    </row>
    <row r="4768" spans="1:7" x14ac:dyDescent="0.25">
      <c r="A4768" s="11" t="s">
        <v>6852</v>
      </c>
      <c r="B4768" s="11"/>
      <c r="C4768" s="3348">
        <v>1</v>
      </c>
      <c r="D4768" s="3348"/>
      <c r="E4768" s="3349"/>
      <c r="F4768" s="3350"/>
      <c r="G4768" s="3351"/>
    </row>
    <row r="4769" spans="1:7" x14ac:dyDescent="0.25">
      <c r="A4769" s="6" t="s">
        <v>6853</v>
      </c>
      <c r="B4769" s="6"/>
      <c r="C4769" s="3344">
        <v>1</v>
      </c>
      <c r="D4769" s="3344"/>
      <c r="E4769" s="3345"/>
      <c r="F4769" s="3346"/>
      <c r="G4769" s="3347"/>
    </row>
    <row r="4770" spans="1:7" x14ac:dyDescent="0.25">
      <c r="A4770" s="11" t="s">
        <v>6854</v>
      </c>
      <c r="B4770" s="11"/>
      <c r="C4770" s="3348">
        <v>8</v>
      </c>
      <c r="D4770" s="3348"/>
      <c r="E4770" s="3349"/>
      <c r="F4770" s="3350"/>
      <c r="G4770" s="3351"/>
    </row>
    <row r="4771" spans="1:7" x14ac:dyDescent="0.25">
      <c r="A4771" s="6" t="s">
        <v>6855</v>
      </c>
      <c r="B4771" s="6"/>
      <c r="C4771" s="3344">
        <v>3</v>
      </c>
      <c r="D4771" s="3344"/>
      <c r="E4771" s="3345"/>
      <c r="F4771" s="3346"/>
      <c r="G4771" s="3347"/>
    </row>
    <row r="4772" spans="1:7" x14ac:dyDescent="0.25">
      <c r="A4772" s="11" t="s">
        <v>6856</v>
      </c>
      <c r="B4772" s="11"/>
      <c r="C4772" s="3348">
        <v>1</v>
      </c>
      <c r="D4772" s="3348"/>
      <c r="E4772" s="3349"/>
      <c r="F4772" s="3350"/>
      <c r="G4772" s="3351"/>
    </row>
    <row r="4773" spans="1:7" x14ac:dyDescent="0.25">
      <c r="A4773" s="6" t="s">
        <v>6857</v>
      </c>
      <c r="B4773" s="6"/>
      <c r="C4773" s="3344">
        <v>1639</v>
      </c>
      <c r="D4773" s="3344"/>
      <c r="E4773" s="3345"/>
      <c r="F4773" s="3346"/>
      <c r="G4773" s="3347"/>
    </row>
    <row r="4774" spans="1:7" x14ac:dyDescent="0.25">
      <c r="A4774" s="11" t="s">
        <v>6858</v>
      </c>
      <c r="B4774" s="11"/>
      <c r="C4774" s="3348">
        <v>97</v>
      </c>
      <c r="D4774" s="3348"/>
      <c r="E4774" s="3349"/>
      <c r="F4774" s="3350"/>
      <c r="G4774" s="3351"/>
    </row>
    <row r="4775" spans="1:7" x14ac:dyDescent="0.25">
      <c r="A4775" s="6" t="s">
        <v>3109</v>
      </c>
      <c r="B4775" s="6"/>
      <c r="C4775" s="3344">
        <v>4</v>
      </c>
      <c r="D4775" s="3344"/>
      <c r="E4775" s="3345"/>
      <c r="F4775" s="3346"/>
      <c r="G4775" s="3347"/>
    </row>
    <row r="4776" spans="1:7" x14ac:dyDescent="0.25">
      <c r="A4776" s="11" t="s">
        <v>6859</v>
      </c>
      <c r="B4776" s="11"/>
      <c r="C4776" s="3348">
        <v>1</v>
      </c>
      <c r="D4776" s="3348"/>
      <c r="E4776" s="3349"/>
      <c r="F4776" s="3350"/>
      <c r="G4776" s="3351"/>
    </row>
    <row r="4777" spans="1:7" x14ac:dyDescent="0.25">
      <c r="A4777" s="6" t="s">
        <v>6860</v>
      </c>
      <c r="B4777" s="6"/>
      <c r="C4777" s="3344">
        <v>1</v>
      </c>
      <c r="D4777" s="3344"/>
      <c r="E4777" s="3345"/>
      <c r="F4777" s="3346"/>
      <c r="G4777" s="3347"/>
    </row>
    <row r="4778" spans="1:7" x14ac:dyDescent="0.25">
      <c r="A4778" s="11" t="s">
        <v>6861</v>
      </c>
      <c r="B4778" s="11"/>
      <c r="C4778" s="3348">
        <v>11</v>
      </c>
      <c r="D4778" s="3348"/>
      <c r="E4778" s="3349"/>
      <c r="F4778" s="3350"/>
      <c r="G4778" s="3351"/>
    </row>
    <row r="4779" spans="1:7" x14ac:dyDescent="0.25">
      <c r="A4779" s="6" t="s">
        <v>3426</v>
      </c>
      <c r="B4779" s="6"/>
      <c r="C4779" s="3344">
        <v>7</v>
      </c>
      <c r="D4779" s="3344"/>
      <c r="E4779" s="3345"/>
      <c r="F4779" s="3346"/>
      <c r="G4779" s="3347"/>
    </row>
    <row r="4780" spans="1:7" x14ac:dyDescent="0.25">
      <c r="A4780" s="11" t="s">
        <v>6862</v>
      </c>
      <c r="B4780" s="11"/>
      <c r="C4780" s="3348">
        <v>5</v>
      </c>
      <c r="D4780" s="3348"/>
      <c r="E4780" s="3349"/>
      <c r="F4780" s="3350"/>
      <c r="G4780" s="3351"/>
    </row>
    <row r="4781" spans="1:7" x14ac:dyDescent="0.25">
      <c r="A4781" s="6" t="s">
        <v>6466</v>
      </c>
      <c r="B4781" s="6"/>
      <c r="C4781" s="3344">
        <v>6</v>
      </c>
      <c r="D4781" s="3344"/>
      <c r="E4781" s="3345"/>
      <c r="F4781" s="3346"/>
      <c r="G4781" s="3347"/>
    </row>
    <row r="4782" spans="1:7" x14ac:dyDescent="0.25">
      <c r="A4782" s="11" t="s">
        <v>6863</v>
      </c>
      <c r="B4782" s="11"/>
      <c r="C4782" s="3348">
        <v>8</v>
      </c>
      <c r="D4782" s="3348"/>
      <c r="E4782" s="3349"/>
      <c r="F4782" s="3350"/>
      <c r="G4782" s="3351"/>
    </row>
    <row r="4783" spans="1:7" x14ac:dyDescent="0.25">
      <c r="A4783" s="6" t="s">
        <v>6864</v>
      </c>
      <c r="B4783" s="6"/>
      <c r="C4783" s="3344">
        <v>2</v>
      </c>
      <c r="D4783" s="3344"/>
      <c r="E4783" s="3345"/>
      <c r="F4783" s="3346"/>
      <c r="G4783" s="3347"/>
    </row>
    <row r="4784" spans="1:7" x14ac:dyDescent="0.25">
      <c r="A4784" s="11" t="s">
        <v>6468</v>
      </c>
      <c r="B4784" s="11"/>
      <c r="C4784" s="3348">
        <v>11</v>
      </c>
      <c r="D4784" s="3348"/>
      <c r="E4784" s="3349"/>
      <c r="F4784" s="3350"/>
      <c r="G4784" s="3351"/>
    </row>
    <row r="4785" spans="1:7" x14ac:dyDescent="0.25">
      <c r="A4785" s="6" t="s">
        <v>6865</v>
      </c>
      <c r="B4785" s="6"/>
      <c r="C4785" s="3344">
        <v>2</v>
      </c>
      <c r="D4785" s="3344"/>
      <c r="E4785" s="3345"/>
      <c r="F4785" s="3346"/>
      <c r="G4785" s="3347"/>
    </row>
    <row r="4786" spans="1:7" x14ac:dyDescent="0.25">
      <c r="A4786" s="11" t="s">
        <v>6866</v>
      </c>
      <c r="B4786" s="11"/>
      <c r="C4786" s="3348">
        <v>3</v>
      </c>
      <c r="D4786" s="3348"/>
      <c r="E4786" s="3349"/>
      <c r="F4786" s="3350"/>
      <c r="G4786" s="3351"/>
    </row>
    <row r="4787" spans="1:7" x14ac:dyDescent="0.25">
      <c r="A4787" s="6" t="s">
        <v>6867</v>
      </c>
      <c r="B4787" s="6"/>
      <c r="C4787" s="3344">
        <v>10</v>
      </c>
      <c r="D4787" s="3344"/>
      <c r="E4787" s="3345"/>
      <c r="F4787" s="3346"/>
      <c r="G4787" s="3347"/>
    </row>
    <row r="4788" spans="1:7" x14ac:dyDescent="0.25">
      <c r="A4788" s="11" t="s">
        <v>6868</v>
      </c>
      <c r="B4788" s="11"/>
      <c r="C4788" s="3348">
        <v>2</v>
      </c>
      <c r="D4788" s="3348"/>
      <c r="E4788" s="3349"/>
      <c r="F4788" s="3350"/>
      <c r="G4788" s="3351"/>
    </row>
    <row r="4789" spans="1:7" x14ac:dyDescent="0.25">
      <c r="A4789" s="6" t="s">
        <v>6869</v>
      </c>
      <c r="B4789" s="6"/>
      <c r="C4789" s="3344">
        <v>16</v>
      </c>
      <c r="D4789" s="3344"/>
      <c r="E4789" s="3345"/>
      <c r="F4789" s="3346"/>
      <c r="G4789" s="3347"/>
    </row>
    <row r="4790" spans="1:7" x14ac:dyDescent="0.25">
      <c r="A4790" s="11" t="s">
        <v>6870</v>
      </c>
      <c r="B4790" s="11"/>
      <c r="C4790" s="3348">
        <v>17</v>
      </c>
      <c r="D4790" s="3348"/>
      <c r="E4790" s="3349"/>
      <c r="F4790" s="3350"/>
      <c r="G4790" s="3351"/>
    </row>
    <row r="4791" spans="1:7" x14ac:dyDescent="0.25">
      <c r="A4791" s="6" t="s">
        <v>6871</v>
      </c>
      <c r="B4791" s="6"/>
      <c r="C4791" s="3344">
        <v>23</v>
      </c>
      <c r="D4791" s="3344"/>
      <c r="E4791" s="3345"/>
      <c r="F4791" s="3346"/>
      <c r="G4791" s="3347"/>
    </row>
    <row r="4792" spans="1:7" x14ac:dyDescent="0.25">
      <c r="A4792" s="11" t="s">
        <v>6872</v>
      </c>
      <c r="B4792" s="11"/>
      <c r="C4792" s="3348">
        <v>1351</v>
      </c>
      <c r="D4792" s="3348"/>
      <c r="E4792" s="3349"/>
      <c r="F4792" s="3350"/>
      <c r="G4792" s="3351"/>
    </row>
    <row r="4793" spans="1:7" x14ac:dyDescent="0.25">
      <c r="A4793" s="6" t="s">
        <v>6873</v>
      </c>
      <c r="B4793" s="6"/>
      <c r="C4793" s="3344">
        <v>4</v>
      </c>
      <c r="D4793" s="3344"/>
      <c r="E4793" s="3345"/>
      <c r="F4793" s="3346"/>
      <c r="G4793" s="3347"/>
    </row>
    <row r="4794" spans="1:7" x14ac:dyDescent="0.25">
      <c r="A4794" s="11" t="s">
        <v>6874</v>
      </c>
      <c r="B4794" s="11"/>
      <c r="C4794" s="3348">
        <v>10</v>
      </c>
      <c r="D4794" s="3348"/>
      <c r="E4794" s="3349"/>
      <c r="F4794" s="3350"/>
      <c r="G4794" s="3351"/>
    </row>
    <row r="4795" spans="1:7" x14ac:dyDescent="0.25">
      <c r="A4795" s="6" t="s">
        <v>6875</v>
      </c>
      <c r="B4795" s="6"/>
      <c r="C4795" s="3344">
        <v>3</v>
      </c>
      <c r="D4795" s="3344"/>
      <c r="E4795" s="3345"/>
      <c r="F4795" s="3346"/>
      <c r="G4795" s="3347"/>
    </row>
    <row r="4796" spans="1:7" x14ac:dyDescent="0.25">
      <c r="A4796" s="11" t="s">
        <v>982</v>
      </c>
      <c r="B4796" s="11" t="s">
        <v>983</v>
      </c>
      <c r="C4796" s="3348">
        <v>9758</v>
      </c>
      <c r="D4796" s="3348"/>
      <c r="E4796" s="3349"/>
      <c r="F4796" s="3350"/>
      <c r="G4796" s="3351"/>
    </row>
    <row r="4797" spans="1:7" x14ac:dyDescent="0.25">
      <c r="A4797" s="6" t="s">
        <v>6293</v>
      </c>
      <c r="B4797" s="6" t="s">
        <v>6294</v>
      </c>
      <c r="C4797" s="3344">
        <v>3357</v>
      </c>
      <c r="D4797" s="3344"/>
      <c r="E4797" s="3345"/>
      <c r="F4797" s="3346"/>
      <c r="G4797" s="3347"/>
    </row>
    <row r="4798" spans="1:7" x14ac:dyDescent="0.25">
      <c r="A4798" s="11" t="s">
        <v>6293</v>
      </c>
      <c r="B4798" s="11" t="s">
        <v>6295</v>
      </c>
      <c r="C4798" s="3348">
        <v>13115</v>
      </c>
      <c r="D4798" s="3348"/>
      <c r="E4798" s="3349">
        <v>0</v>
      </c>
      <c r="F4798" s="3350">
        <v>100</v>
      </c>
      <c r="G4798" s="3351">
        <v>0</v>
      </c>
    </row>
  </sheetData>
  <mergeCells count="423">
    <mergeCell ref="A2:G2"/>
    <mergeCell ref="A3:G3"/>
    <mergeCell ref="A6:G6"/>
    <mergeCell ref="A9:G9"/>
    <mergeCell ref="A63:G63"/>
    <mergeCell ref="A71:G71"/>
    <mergeCell ref="A75:G75"/>
    <mergeCell ref="A80:G80"/>
    <mergeCell ref="A85:G85"/>
    <mergeCell ref="A91:G91"/>
    <mergeCell ref="A97:G97"/>
    <mergeCell ref="A102:G102"/>
    <mergeCell ref="A109:G109"/>
    <mergeCell ref="A117:G117"/>
    <mergeCell ref="A129:G129"/>
    <mergeCell ref="A144:G144"/>
    <mergeCell ref="A161:G161"/>
    <mergeCell ref="A167:G167"/>
    <mergeCell ref="A176:G176"/>
    <mergeCell ref="A186:G186"/>
    <mergeCell ref="A195:G195"/>
    <mergeCell ref="A206:G206"/>
    <mergeCell ref="A270:G270"/>
    <mergeCell ref="A279:G279"/>
    <mergeCell ref="A288:G288"/>
    <mergeCell ref="A297:G297"/>
    <mergeCell ref="A306:G306"/>
    <mergeCell ref="A315:G315"/>
    <mergeCell ref="A324:G324"/>
    <mergeCell ref="A333:G333"/>
    <mergeCell ref="A342:G342"/>
    <mergeCell ref="A351:G351"/>
    <mergeCell ref="A360:G360"/>
    <mergeCell ref="A369:G369"/>
    <mergeCell ref="A378:G378"/>
    <mergeCell ref="A383:G383"/>
    <mergeCell ref="A391:G391"/>
    <mergeCell ref="A437:G437"/>
    <mergeCell ref="A475:G475"/>
    <mergeCell ref="A484:G484"/>
    <mergeCell ref="A488:G488"/>
    <mergeCell ref="A492:G492"/>
    <mergeCell ref="A497:G497"/>
    <mergeCell ref="A502:G502"/>
    <mergeCell ref="A507:G507"/>
    <mergeCell ref="A512:G512"/>
    <mergeCell ref="A516:G516"/>
    <mergeCell ref="A521:G521"/>
    <mergeCell ref="A526:G526"/>
    <mergeCell ref="A530:G530"/>
    <mergeCell ref="A535:G535"/>
    <mergeCell ref="A540:G540"/>
    <mergeCell ref="A545:G545"/>
    <mergeCell ref="A550:G550"/>
    <mergeCell ref="A554:G554"/>
    <mergeCell ref="A559:G559"/>
    <mergeCell ref="A568:G568"/>
    <mergeCell ref="A611:G611"/>
    <mergeCell ref="A628:G628"/>
    <mergeCell ref="A645:G645"/>
    <mergeCell ref="A654:G654"/>
    <mergeCell ref="A661:G661"/>
    <mergeCell ref="A671:G671"/>
    <mergeCell ref="A687:G687"/>
    <mergeCell ref="A695:G695"/>
    <mergeCell ref="A708:G708"/>
    <mergeCell ref="A715:G715"/>
    <mergeCell ref="A724:G724"/>
    <mergeCell ref="A729:G729"/>
    <mergeCell ref="A735:G735"/>
    <mergeCell ref="A744:G744"/>
    <mergeCell ref="A749:G749"/>
    <mergeCell ref="A809:G809"/>
    <mergeCell ref="A814:G814"/>
    <mergeCell ref="A818:G818"/>
    <mergeCell ref="A822:G822"/>
    <mergeCell ref="A826:G826"/>
    <mergeCell ref="A833:G833"/>
    <mergeCell ref="A845:G845"/>
    <mergeCell ref="A851:G851"/>
    <mergeCell ref="A881:G881"/>
    <mergeCell ref="A893:G893"/>
    <mergeCell ref="A897:G897"/>
    <mergeCell ref="A912:G912"/>
    <mergeCell ref="A923:G923"/>
    <mergeCell ref="A933:G933"/>
    <mergeCell ref="A944:G944"/>
    <mergeCell ref="A959:G959"/>
    <mergeCell ref="A969:G969"/>
    <mergeCell ref="A979:G979"/>
    <mergeCell ref="A983:G983"/>
    <mergeCell ref="A986:G986"/>
    <mergeCell ref="A989:G989"/>
    <mergeCell ref="A992:G992"/>
    <mergeCell ref="A996:G996"/>
    <mergeCell ref="A999:G999"/>
    <mergeCell ref="A1002:G1002"/>
    <mergeCell ref="A1007:G1007"/>
    <mergeCell ref="A1016:G1016"/>
    <mergeCell ref="A1020:G1020"/>
    <mergeCell ref="A1026:G1026"/>
    <mergeCell ref="A1027:G1027"/>
    <mergeCell ref="A1030:G1030"/>
    <mergeCell ref="A1042:G1042"/>
    <mergeCell ref="A1045:G1045"/>
    <mergeCell ref="A1148:G1148"/>
    <mergeCell ref="A1157:G1157"/>
    <mergeCell ref="A1164:G1164"/>
    <mergeCell ref="A1172:G1172"/>
    <mergeCell ref="A1178:G1178"/>
    <mergeCell ref="A1189:G1189"/>
    <mergeCell ref="A1196:G1196"/>
    <mergeCell ref="A1208:G1208"/>
    <mergeCell ref="A1219:G1219"/>
    <mergeCell ref="A1225:G1225"/>
    <mergeCell ref="A1231:G1231"/>
    <mergeCell ref="A1238:G1238"/>
    <mergeCell ref="A1246:G1246"/>
    <mergeCell ref="A1267:G1267"/>
    <mergeCell ref="A1276:G1276"/>
    <mergeCell ref="A1288:G1288"/>
    <mergeCell ref="A1298:G1298"/>
    <mergeCell ref="A1303:G1303"/>
    <mergeCell ref="A1310:G1310"/>
    <mergeCell ref="A1363:G1363"/>
    <mergeCell ref="A1403:G1403"/>
    <mergeCell ref="A1426:G1426"/>
    <mergeCell ref="A1444:G1444"/>
    <mergeCell ref="A1462:G1462"/>
    <mergeCell ref="A1468:G1468"/>
    <mergeCell ref="A1474:G1474"/>
    <mergeCell ref="A1480:G1480"/>
    <mergeCell ref="A1486:G1486"/>
    <mergeCell ref="A1492:G1492"/>
    <mergeCell ref="A1498:G1498"/>
    <mergeCell ref="A1504:G1504"/>
    <mergeCell ref="A1510:G1510"/>
    <mergeCell ref="A1516:G1516"/>
    <mergeCell ref="A1522:G1522"/>
    <mergeCell ref="A1528:G1528"/>
    <mergeCell ref="A1534:G1534"/>
    <mergeCell ref="A1540:G1540"/>
    <mergeCell ref="A1546:G1546"/>
    <mergeCell ref="A1552:G1552"/>
    <mergeCell ref="A1558:G1558"/>
    <mergeCell ref="A1564:G1564"/>
    <mergeCell ref="A1570:G1570"/>
    <mergeCell ref="A1603:G1603"/>
    <mergeCell ref="A1625:G1625"/>
    <mergeCell ref="A1640:G1640"/>
    <mergeCell ref="A1662:G1662"/>
    <mergeCell ref="A1675:G1675"/>
    <mergeCell ref="A1736:G1736"/>
    <mergeCell ref="A1794:G1794"/>
    <mergeCell ref="A1811:G1811"/>
    <mergeCell ref="A1818:G1818"/>
    <mergeCell ref="A1835:G1835"/>
    <mergeCell ref="A1868:G1868"/>
    <mergeCell ref="A1875:G1875"/>
    <mergeCell ref="A1882:G1882"/>
    <mergeCell ref="A1890:G1890"/>
    <mergeCell ref="A1916:G1916"/>
    <mergeCell ref="A1930:G1930"/>
    <mergeCell ref="A1935:G1935"/>
    <mergeCell ref="A1951:G1951"/>
    <mergeCell ref="A1956:G1956"/>
    <mergeCell ref="A1964:G1964"/>
    <mergeCell ref="A1970:G1970"/>
    <mergeCell ref="A2011:G2011"/>
    <mergeCell ref="A2019:G2019"/>
    <mergeCell ref="A2026:G2026"/>
    <mergeCell ref="A2037:G2037"/>
    <mergeCell ref="A2046:G2046"/>
    <mergeCell ref="A2071:G2071"/>
    <mergeCell ref="A2096:G2096"/>
    <mergeCell ref="A2103:G2103"/>
    <mergeCell ref="A2181:G2181"/>
    <mergeCell ref="A2186:G2186"/>
    <mergeCell ref="A2194:G2194"/>
    <mergeCell ref="A2201:G2201"/>
    <mergeCell ref="A2212:G2212"/>
    <mergeCell ref="A2217:G2217"/>
    <mergeCell ref="A2228:G2228"/>
    <mergeCell ref="A2235:G2235"/>
    <mergeCell ref="A2240:G2240"/>
    <mergeCell ref="A2257:G2257"/>
    <mergeCell ref="A2270:G2270"/>
    <mergeCell ref="A2275:G2275"/>
    <mergeCell ref="A2280:G2280"/>
    <mergeCell ref="A2285:G2285"/>
    <mergeCell ref="A2290:G2290"/>
    <mergeCell ref="A2295:G2295"/>
    <mergeCell ref="A2300:G2300"/>
    <mergeCell ref="A2305:G2305"/>
    <mergeCell ref="A2310:G2310"/>
    <mergeCell ref="A2343:G2343"/>
    <mergeCell ref="A2349:G2349"/>
    <mergeCell ref="A2355:G2355"/>
    <mergeCell ref="A2361:G2361"/>
    <mergeCell ref="A2367:G2367"/>
    <mergeCell ref="A2373:G2373"/>
    <mergeCell ref="A2379:G2379"/>
    <mergeCell ref="A2385:G2385"/>
    <mergeCell ref="A2391:G2391"/>
    <mergeCell ref="A2397:G2397"/>
    <mergeCell ref="A2403:G2403"/>
    <mergeCell ref="A2408:G2408"/>
    <mergeCell ref="A2414:G2414"/>
    <mergeCell ref="A2420:G2420"/>
    <mergeCell ref="A2426:G2426"/>
    <mergeCell ref="A2432:G2432"/>
    <mergeCell ref="A2438:G2438"/>
    <mergeCell ref="A2444:G2444"/>
    <mergeCell ref="A2450:G2450"/>
    <mergeCell ref="A2456:G2456"/>
    <mergeCell ref="A2462:G2462"/>
    <mergeCell ref="A2468:G2468"/>
    <mergeCell ref="A2477:G2477"/>
    <mergeCell ref="A2483:G2483"/>
    <mergeCell ref="A2489:G2489"/>
    <mergeCell ref="A2495:G2495"/>
    <mergeCell ref="A2501:G2501"/>
    <mergeCell ref="A2507:G2507"/>
    <mergeCell ref="A2513:G2513"/>
    <mergeCell ref="A2519:G2519"/>
    <mergeCell ref="A2525:G2525"/>
    <mergeCell ref="A2530:G2530"/>
    <mergeCell ref="A2535:G2535"/>
    <mergeCell ref="A2540:G2540"/>
    <mergeCell ref="A2545:G2545"/>
    <mergeCell ref="A2550:G2550"/>
    <mergeCell ref="A2555:G2555"/>
    <mergeCell ref="A2560:G2560"/>
    <mergeCell ref="A2566:G2566"/>
    <mergeCell ref="A2571:G2571"/>
    <mergeCell ref="A2576:G2576"/>
    <mergeCell ref="A2584:G2584"/>
    <mergeCell ref="A2589:G2589"/>
    <mergeCell ref="A2613:G2613"/>
    <mergeCell ref="A2618:G2618"/>
    <mergeCell ref="A2635:G2635"/>
    <mergeCell ref="A2660:G2660"/>
    <mergeCell ref="A2681:G2681"/>
    <mergeCell ref="A2686:G2686"/>
    <mergeCell ref="A2691:G2691"/>
    <mergeCell ref="A2696:G2696"/>
    <mergeCell ref="A2701:G2701"/>
    <mergeCell ref="A2706:G2706"/>
    <mergeCell ref="A2711:G2711"/>
    <mergeCell ref="A2813:G2813"/>
    <mergeCell ref="A2818:G2818"/>
    <mergeCell ref="A2823:G2823"/>
    <mergeCell ref="A2833:G2833"/>
    <mergeCell ref="A2839:G2839"/>
    <mergeCell ref="A2840:G2840"/>
    <mergeCell ref="A2843:G2843"/>
    <mergeCell ref="A2858:G2858"/>
    <mergeCell ref="A2939:G2939"/>
    <mergeCell ref="A3019:G3019"/>
    <mergeCell ref="A3081:G3081"/>
    <mergeCell ref="A3085:G3085"/>
    <mergeCell ref="A3090:G3090"/>
    <mergeCell ref="A3094:G3094"/>
    <mergeCell ref="A3103:G3103"/>
    <mergeCell ref="A3111:G3111"/>
    <mergeCell ref="A3124:G3124"/>
    <mergeCell ref="A3135:G3135"/>
    <mergeCell ref="A3148:G3148"/>
    <mergeCell ref="A3155:G3155"/>
    <mergeCell ref="A3163:G3163"/>
    <mergeCell ref="A3174:G3174"/>
    <mergeCell ref="A3194:G3194"/>
    <mergeCell ref="A3233:G3233"/>
    <mergeCell ref="A3243:G3243"/>
    <mergeCell ref="A3251:G3251"/>
    <mergeCell ref="A3259:G3259"/>
    <mergeCell ref="A3266:G3266"/>
    <mergeCell ref="A3272:G3272"/>
    <mergeCell ref="A3284:G3284"/>
    <mergeCell ref="A3302:G3302"/>
    <mergeCell ref="A3310:G3310"/>
    <mergeCell ref="A3315:G3315"/>
    <mergeCell ref="A3326:G3326"/>
    <mergeCell ref="A3331:G3331"/>
    <mergeCell ref="A3336:G3336"/>
    <mergeCell ref="A3337:G3337"/>
    <mergeCell ref="A3340:G3340"/>
    <mergeCell ref="A3352:G3352"/>
    <mergeCell ref="A3377:G3377"/>
    <mergeCell ref="A3416:G3416"/>
    <mergeCell ref="A3456:G3456"/>
    <mergeCell ref="A3459:G3459"/>
    <mergeCell ref="A3462:G3462"/>
    <mergeCell ref="A3465:G3465"/>
    <mergeCell ref="A3468:G3468"/>
    <mergeCell ref="A3483:G3483"/>
    <mergeCell ref="A3546:G3546"/>
    <mergeCell ref="A3551:G3551"/>
    <mergeCell ref="A3566:G3566"/>
    <mergeCell ref="A3629:G3629"/>
    <mergeCell ref="A3634:G3634"/>
    <mergeCell ref="A3638:G3638"/>
    <mergeCell ref="A3641:G3641"/>
    <mergeCell ref="A3645:G3645"/>
    <mergeCell ref="A3745:G3745"/>
    <mergeCell ref="A3754:G3754"/>
    <mergeCell ref="A3759:G3759"/>
    <mergeCell ref="A3783:G3783"/>
    <mergeCell ref="A3807:G3807"/>
    <mergeCell ref="A3820:G3820"/>
    <mergeCell ref="A3837:G3837"/>
    <mergeCell ref="A3848:G3848"/>
    <mergeCell ref="A3862:G3862"/>
    <mergeCell ref="A3884:G3884"/>
    <mergeCell ref="A3893:G3893"/>
    <mergeCell ref="A3917:G3917"/>
    <mergeCell ref="A3923:G3923"/>
    <mergeCell ref="A3946:G3946"/>
    <mergeCell ref="A3958:G3958"/>
    <mergeCell ref="A3984:G3984"/>
    <mergeCell ref="A3993:G3993"/>
    <mergeCell ref="A4017:G4017"/>
    <mergeCell ref="A4025:G4025"/>
    <mergeCell ref="A4030:G4030"/>
    <mergeCell ref="A4035:G4035"/>
    <mergeCell ref="A4041:G4041"/>
    <mergeCell ref="A4052:G4052"/>
    <mergeCell ref="A4069:G4069"/>
    <mergeCell ref="A4086:G4086"/>
    <mergeCell ref="A4092:G4092"/>
    <mergeCell ref="A4097:G4097"/>
    <mergeCell ref="A4106:G4106"/>
    <mergeCell ref="A4110:G4110"/>
    <mergeCell ref="A4115:G4115"/>
    <mergeCell ref="A4119:G4119"/>
    <mergeCell ref="A4123:G4123"/>
    <mergeCell ref="A4129:G4129"/>
    <mergeCell ref="A4141:G4141"/>
    <mergeCell ref="A4154:G4154"/>
    <mergeCell ref="A4159:G4159"/>
    <mergeCell ref="A4163:G4163"/>
    <mergeCell ref="A4168:G4168"/>
    <mergeCell ref="A4172:G4172"/>
    <mergeCell ref="A4177:G4177"/>
    <mergeCell ref="A4181:G4181"/>
    <mergeCell ref="A4185:G4185"/>
    <mergeCell ref="A4189:G4189"/>
    <mergeCell ref="A4193:G4193"/>
    <mergeCell ref="A4197:G4197"/>
    <mergeCell ref="A4202:G4202"/>
    <mergeCell ref="A4206:G4206"/>
    <mergeCell ref="A4211:G4211"/>
    <mergeCell ref="A4215:G4215"/>
    <mergeCell ref="A4219:G4219"/>
    <mergeCell ref="A4224:G4224"/>
    <mergeCell ref="A4229:G4229"/>
    <mergeCell ref="A4233:G4233"/>
    <mergeCell ref="A4238:G4238"/>
    <mergeCell ref="A4242:G4242"/>
    <mergeCell ref="A4247:G4247"/>
    <mergeCell ref="A4251:G4251"/>
    <mergeCell ref="A4255:G4255"/>
    <mergeCell ref="A4260:G4260"/>
    <mergeCell ref="A4266:G4266"/>
    <mergeCell ref="A4271:G4271"/>
    <mergeCell ref="A4277:G4277"/>
    <mergeCell ref="A4282:G4282"/>
    <mergeCell ref="A4287:G4287"/>
    <mergeCell ref="A4292:G4292"/>
    <mergeCell ref="A4297:G4297"/>
    <mergeCell ref="A4302:G4302"/>
    <mergeCell ref="A4307:G4307"/>
    <mergeCell ref="A4312:G4312"/>
    <mergeCell ref="A4318:G4318"/>
    <mergeCell ref="A4323:G4323"/>
    <mergeCell ref="A4329:G4329"/>
    <mergeCell ref="A4334:G4334"/>
    <mergeCell ref="A4340:G4340"/>
    <mergeCell ref="A4346:G4346"/>
    <mergeCell ref="A4352:G4352"/>
    <mergeCell ref="A4357:G4357"/>
    <mergeCell ref="A4363:G4363"/>
    <mergeCell ref="A4368:G4368"/>
    <mergeCell ref="A4374:G4374"/>
    <mergeCell ref="A4379:G4379"/>
    <mergeCell ref="A4384:G4384"/>
    <mergeCell ref="A4389:G4389"/>
    <mergeCell ref="A4394:G4394"/>
    <mergeCell ref="A4400:G4400"/>
    <mergeCell ref="A4406:G4406"/>
    <mergeCell ref="A4412:G4412"/>
    <mergeCell ref="A4418:G4418"/>
    <mergeCell ref="A4424:G4424"/>
    <mergeCell ref="A4430:G4430"/>
    <mergeCell ref="A4436:G4436"/>
    <mergeCell ref="A4442:G4442"/>
    <mergeCell ref="A4446:G4446"/>
    <mergeCell ref="A4450:G4450"/>
    <mergeCell ref="A4454:G4454"/>
    <mergeCell ref="A4458:G4458"/>
    <mergeCell ref="A4462:G4462"/>
    <mergeCell ref="A4466:G4466"/>
    <mergeCell ref="A4469:G4469"/>
    <mergeCell ref="A4470:G4470"/>
    <mergeCell ref="A4473:G4473"/>
    <mergeCell ref="A4514:G4514"/>
    <mergeCell ref="A4527:G4527"/>
    <mergeCell ref="A4534:G4534"/>
    <mergeCell ref="A4537:G4537"/>
    <mergeCell ref="A4540:G4540"/>
    <mergeCell ref="A4543:G4543"/>
    <mergeCell ref="A4546:G4546"/>
    <mergeCell ref="A4550:G4550"/>
    <mergeCell ref="A4593:G4593"/>
    <mergeCell ref="A4598:G4598"/>
    <mergeCell ref="A4608:G4608"/>
    <mergeCell ref="A4611:G4611"/>
    <mergeCell ref="A4615:G4615"/>
    <mergeCell ref="A4652:G4652"/>
    <mergeCell ref="A4732:G4732"/>
    <mergeCell ref="A4736:G4736"/>
    <mergeCell ref="A4747:G4747"/>
    <mergeCell ref="A4751:G4751"/>
  </mergeCells>
  <pageMargins left="0.7" right="0.7" top="0.75" bottom="0.75" header="0.3" footer="0.3"/>
  <pageSetup paperSize="9"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Variables</vt:lpstr>
      <vt:lpstr>Value Lookup</vt:lpstr>
      <vt:lpstr>Tables</vt:lpstr>
      <vt:lpstr>Weights</vt:lpstr>
      <vt:lpstr>Frequencies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Westat</dc:creator>
  <cp:lastModifiedBy>Stacey Bricka</cp:lastModifiedBy>
  <dcterms:created xsi:type="dcterms:W3CDTF">2014-03-07T16:08:25Z</dcterms:created>
  <dcterms:modified xsi:type="dcterms:W3CDTF">2018-01-30T18:11:03Z</dcterms:modified>
</cp:coreProperties>
</file>